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05" windowHeight="6540" tabRatio="730" activeTab="0"/>
  </bookViews>
  <sheets>
    <sheet name="Δεδομένα" sheetId="1" r:id="rId1"/>
    <sheet name="Αποσβέσεις-ΜΕΚ" sheetId="2" r:id="rId2"/>
    <sheet name="Δαπάνες" sheetId="3" r:id="rId3"/>
    <sheet name="Ακαθαρ. Πρόσοδος" sheetId="4" r:id="rId4"/>
    <sheet name="Οικ Αποτελέσματα" sheetId="5" r:id="rId5"/>
  </sheets>
  <definedNames>
    <definedName name="_xlnm.Print_Area" localSheetId="0">'Δεδομένα'!$A$96:$E$118</definedName>
  </definedNames>
  <calcPr fullCalcOnLoad="1"/>
</workbook>
</file>

<file path=xl/sharedStrings.xml><?xml version="1.0" encoding="utf-8"?>
<sst xmlns="http://schemas.openxmlformats.org/spreadsheetml/2006/main" count="508" uniqueCount="251">
  <si>
    <t>ΣΥΝΟΛΟ</t>
  </si>
  <si>
    <t>Παραγωγικές δαπάνες</t>
  </si>
  <si>
    <t>Μεταβλητές δαπάνες</t>
  </si>
  <si>
    <t>Σταθερές δαπάνες</t>
  </si>
  <si>
    <t>Εμφανείς δαπάνες</t>
  </si>
  <si>
    <t>1) Εδαφος</t>
  </si>
  <si>
    <t>α) ενοίκιο ιδιόκτητης γής</t>
  </si>
  <si>
    <t>ΣΥΝΤΕΛΕΣΤΕΣ ΠΑΡΑΓΩΓΗΣ</t>
  </si>
  <si>
    <t>β) ενοίκιο ενοικιαζόμενης γής</t>
  </si>
  <si>
    <t>2) Εργασία</t>
  </si>
  <si>
    <t>α) αμοιβή οικογενειακής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</si>
  <si>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</si>
  <si>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</si>
  <si>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</si>
  <si>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</si>
  <si>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</si>
  <si>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Μη εμφανείς δαπάνες</t>
  </si>
  <si>
    <t>ΠΙΝΑΚΑΣ  ΥΠΟΛΟΓΙΣΜΟΥ  ΕΤΗΣΙΩΝ  ΑΠΟΣΒΕΣΕΩΝ</t>
  </si>
  <si>
    <t>ΔΙΑΡΚΕΙΑ ΧΡΗΣΕΩΣ</t>
  </si>
  <si>
    <t>Ετη που απομένουν</t>
  </si>
  <si>
    <t>Αρχή έτους</t>
  </si>
  <si>
    <t>Τέλος έτους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</si>
  <si>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</si>
  <si>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</si>
  <si>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</si>
  <si>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</si>
  <si>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</si>
  <si>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</si>
  <si>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</si>
  <si>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[Καθ. Κέρδος+Τόκοι+Ενοίκια]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</si>
  <si>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</si>
  <si>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</si>
  <si>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</si>
  <si>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</si>
  <si>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</si>
  <si>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</si>
  <si>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</si>
  <si>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</si>
  <si>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</si>
  <si>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Οικονομικό αποτέλεσμα</t>
  </si>
  <si>
    <t>Τύπος υπολογισμού</t>
  </si>
  <si>
    <t>Ποσό</t>
  </si>
  <si>
    <t>3) συντήρηση</t>
  </si>
  <si>
    <t>Αναλώσιμα υλικά που αγοράσθηκαν</t>
  </si>
  <si>
    <t>Πλατφόρμα</t>
  </si>
  <si>
    <t>ΣΥΝΟΛΟ  ΠΑΡΑΓΩΓΙΚΩΝ  ΔΑΠΑΝΩΝ</t>
  </si>
  <si>
    <t>Ιδιόκτητη γεωργική γή (στρ.)</t>
  </si>
  <si>
    <t>Τεκμαρτή αμοιβή (€/ώρα)</t>
  </si>
  <si>
    <t>Αξία αντικατάστασης (€)</t>
  </si>
  <si>
    <t>Υπολειμματική αξία (€)</t>
  </si>
  <si>
    <t>Σύνολο δαπάνης καλλιέργειας (€)</t>
  </si>
  <si>
    <t>Ωρες οικογενειακής εργασίας</t>
  </si>
  <si>
    <t>Υπηρεσίες τρίτων &amp; λοιπές δαπάνες (€)</t>
  </si>
  <si>
    <t>Γενικές δαπάνες</t>
  </si>
  <si>
    <t>ΣΗΜΕΡΙΝΗ ΑΞΙΑ (€)</t>
  </si>
  <si>
    <t>Σύνολο παραγωγικής ζωής</t>
  </si>
  <si>
    <t>Ετήσια απόσβεση (€)</t>
  </si>
  <si>
    <t>5) τόκοι συντήρησης &amp; ασφαλίστρων</t>
  </si>
  <si>
    <t>2) τόκοι παγίου κεφαλαίου</t>
  </si>
  <si>
    <t>4) ασφάλιστρα</t>
  </si>
  <si>
    <t>Τεκμαρτό ενοικιο εδάφους (€/στρ.)</t>
  </si>
  <si>
    <t>Τιμή πώλησης (€/Kgr)</t>
  </si>
  <si>
    <t>Αξία 1 στρ. γεωργικής γής (€)</t>
  </si>
  <si>
    <t>Είδος μονίμου κεφαλαίου</t>
  </si>
  <si>
    <t>Τρακτέρ 75 hp</t>
  </si>
  <si>
    <t>Λιπασματοδιανομέας</t>
  </si>
  <si>
    <t>Αντλία πετρελαίου 75 hp</t>
  </si>
  <si>
    <t>Αυτοπροωθούμενο αρδευτικό μηχάνημα (καρούλι)</t>
  </si>
  <si>
    <t>Φυτεία μηδικής</t>
  </si>
  <si>
    <t>Στοιχεία μονίμου και ημιμονίμου κεφαλαίου εκμετάλλευσης</t>
  </si>
  <si>
    <t>Πετρέλαιο</t>
  </si>
  <si>
    <t>Μηδική</t>
  </si>
  <si>
    <t>Μόνιμο και ημιμόνιμο κεφαλαιο μηδικής</t>
  </si>
  <si>
    <t>Ποσοστό μερισμού της μηδικής</t>
  </si>
  <si>
    <t>Μέσο Επενδυμένο Κεφάλαιο (Μόνιμο και ημιμόνιμο πλην εδάφους), σε €</t>
  </si>
  <si>
    <t>Συντήρηση (€)</t>
  </si>
  <si>
    <t>Μέσο Επενδυμενο Κεφαλαιο κλάδου Μηδικής (&amp; το εδαφος)</t>
  </si>
  <si>
    <t>Μέσο Επενδυμενο Κεφαλαιο Εκμετάλλευσης</t>
  </si>
  <si>
    <t>ΠΙΝΑΚΑΣ  ΥΠΟΛΟΓΙΣΜΟΥ  ΕΤΗΣΙΩΝ  ΠΑΡΑΓΩΓΙΚΩΝ ΔΑΠΑΝΩΝ ΜΗΔΙΚΗΣ</t>
  </si>
  <si>
    <t>ΠΙΝΑΚΑΣ  ΥΠΟΛΟΓΙΣΜΟΥ  ΕΤΗΣΙΩΝ  ΠΑΡΑΓΩΓΙΚΩΝ ΔΑΠΑΝΩΝ ΕΚΜΕΤΑΛΛΕΥΣΗΣ</t>
  </si>
  <si>
    <t>3) υπηρεσίες τρίτων</t>
  </si>
  <si>
    <t>4) διάφορες άλλες δαπάνες</t>
  </si>
  <si>
    <t>5) τόκοι κυκλ.κεφαλαίου</t>
  </si>
  <si>
    <t>β) αμοιβή ξένης εργασίας</t>
  </si>
  <si>
    <t>(Συν. Παραγ. δαπ./Συν. Παραγωγή)</t>
  </si>
  <si>
    <t>Γεωργικό εισόδημα παραγωγού</t>
  </si>
  <si>
    <t>Καθαρή πρόσοδοςή πρόσοδος κεφαλαίου</t>
  </si>
  <si>
    <t>Αποδοτικότητα κεφαλαίου(%)</t>
  </si>
  <si>
    <t>ΠΙΝΑΚΑΣ  ΟΙΚΟΝΟΜΙΚΩΝ ΑΠΟΤΕΛΕΣΜΑΤΩΝ ΜΗΔΙΚΗΣ</t>
  </si>
  <si>
    <t>Κόστος παραγωγής σανού μηδικής (ευρώ/Kgr)</t>
  </si>
  <si>
    <t>ΠΙΝΑΚΑΣ  ΟΙΚΟΝΟΜΙΚΩΝ ΑΠΟΤΕΛΕΣΜΑΤΩΝ ΕΚΜΕΤΑΛΛΕΥΣΗΣ</t>
  </si>
  <si>
    <t>Παρελθόντα χρόνια από την αγορά /  εγκατάσταση</t>
  </si>
  <si>
    <t xml:space="preserve">Ποσοστό (%) της χρήσης των μηχανημάτων στη μηδική (με βάση τις ώρες λειτουργίας των μηχανημάτων) </t>
  </si>
  <si>
    <t>Ποσοστό (%) της χρήσης των μηχανημάτων στο σκληρό σιτάρι (με βάση τις ώρες λειτουργίας των μηχανημάτων)</t>
  </si>
  <si>
    <t>Άροτρο</t>
  </si>
  <si>
    <t>Ψεκαστικό</t>
  </si>
  <si>
    <t>-</t>
  </si>
  <si>
    <t>Αγελάδες (αριθμός)</t>
  </si>
  <si>
    <t>Παραγωγή ανά αγελάδα(λιτρα/ετος)</t>
  </si>
  <si>
    <t>Τιμή πώλησης γάλακτος (ευρώ/λιτρο)</t>
  </si>
  <si>
    <t xml:space="preserve">Αξία μόσχου 30 ημερών (ευρώ/κεφαλή) </t>
  </si>
  <si>
    <t>Διάρκεια παραγωγικής ζωής αγελάδων (σε χρόνια)</t>
  </si>
  <si>
    <t>Αξία αγελάδος (ευρώ ανά ζώο)</t>
  </si>
  <si>
    <t>Αριθμόςπωλούμενων αγελάδων υπερήλικων</t>
  </si>
  <si>
    <t>Αξία υπερήλικης αγελάδας (250 κιλά κρέας*2 ευρώ/κιλο)</t>
  </si>
  <si>
    <t>Αξία ανακατασκευής (ευρώ)</t>
  </si>
  <si>
    <t>Στάβλος (480 τ.μ.)</t>
  </si>
  <si>
    <t>Αποθήκη ζωοτροφών (120 μ2)</t>
  </si>
  <si>
    <t>Σιρός (980 μ2)</t>
  </si>
  <si>
    <t>Αμελκτήριο</t>
  </si>
  <si>
    <t>Ταϊστρες- ποτίστρες, λοιπός εξοπλισμός</t>
  </si>
  <si>
    <t>Μηχάνημα άμελξης (2*5 θέσεις)</t>
  </si>
  <si>
    <t>Διατροφή</t>
  </si>
  <si>
    <t>Αγορά ζωοτροφών (Kgr)</t>
  </si>
  <si>
    <t>Τιμή αγοράς/κιλό (€/kgr)</t>
  </si>
  <si>
    <t>Σύνολο δαπανης αγοράς ζωοτροφών (€)</t>
  </si>
  <si>
    <t xml:space="preserve">Κτηνιατρική περίθαλψη, σπερματέγχυση (ευρω) </t>
  </si>
  <si>
    <t>Λοιπές δαπάνες (νερό, φώς, κλπ.), ευρώ ανά ζώο</t>
  </si>
  <si>
    <t>Ανθρώπινη εργασία (ώρες)</t>
  </si>
  <si>
    <t xml:space="preserve">Γενικές δαπάνες </t>
  </si>
  <si>
    <t>Εισφορές ΟΓΑ ( για 4 ασφαλιζομενα ατομα)</t>
  </si>
  <si>
    <t>Κρατήσεις ΕΛ.ΓΑ (0,5% επι της αξιας των πωλούμενων προϊοντων)</t>
  </si>
  <si>
    <t>Επιτόκιο μεσομακροπρόθεσμο (5,95%)</t>
  </si>
  <si>
    <t>Επιτόκιο βραχυπρόθεσμο(4,8%)</t>
  </si>
  <si>
    <t>Δαπάνες ασφαλίστρων κτισμάτων και εξοπλισμού  (0,83 %επι του ΜΕΚ )</t>
  </si>
  <si>
    <t>Ένοίκιο εδάφους (ευρώ/στρ)</t>
  </si>
  <si>
    <t>Αξία εδάφους (ευρώ/στρ)</t>
  </si>
  <si>
    <t>Αξία πωλούμενων προϊόντων</t>
  </si>
  <si>
    <t>και προσδιορισμός κυρίων και δευτερευόντων προϊόντων</t>
  </si>
  <si>
    <t>Αξία γάλακτος</t>
  </si>
  <si>
    <t>Κύριο προϊόν</t>
  </si>
  <si>
    <t>Αξία μόσχων</t>
  </si>
  <si>
    <t>Δευτερ. Προϊόν</t>
  </si>
  <si>
    <t>Αξία κρέατος υπερήλικων αγελάδων</t>
  </si>
  <si>
    <t>Σύνολο αξιας πωλούμενων προϊόντων</t>
  </si>
  <si>
    <t>50 αγελάδες</t>
  </si>
  <si>
    <t>Κατηγορίες αγελάδων με βάση το έτος παραγωγικής ζωής</t>
  </si>
  <si>
    <t>Αριθμός ζώων ανά κατηγορία</t>
  </si>
  <si>
    <t>Μέση αξία κάθε ζώου (€/κεφαλή) ανά παραγωγικό έτος</t>
  </si>
  <si>
    <r>
      <t>1</t>
    </r>
    <r>
      <rPr>
        <vertAlign val="superscript"/>
        <sz val="11"/>
        <rFont val="Times New Roman"/>
        <family val="1"/>
      </rPr>
      <t>o</t>
    </r>
  </si>
  <si>
    <r>
      <t>2</t>
    </r>
    <r>
      <rPr>
        <vertAlign val="superscript"/>
        <sz val="11"/>
        <rFont val="Times New Roman"/>
        <family val="1"/>
      </rPr>
      <t>ο</t>
    </r>
  </si>
  <si>
    <r>
      <t>3</t>
    </r>
    <r>
      <rPr>
        <vertAlign val="superscript"/>
        <sz val="11"/>
        <rFont val="Times New Roman"/>
        <family val="1"/>
      </rPr>
      <t>ο</t>
    </r>
  </si>
  <si>
    <r>
      <t>4</t>
    </r>
    <r>
      <rPr>
        <vertAlign val="superscript"/>
        <sz val="11"/>
        <rFont val="Times New Roman"/>
        <family val="1"/>
      </rPr>
      <t>ο</t>
    </r>
  </si>
  <si>
    <r>
      <t>5</t>
    </r>
    <r>
      <rPr>
        <vertAlign val="superscript"/>
        <sz val="11"/>
        <rFont val="Times New Roman"/>
        <family val="1"/>
      </rPr>
      <t>ο</t>
    </r>
  </si>
  <si>
    <t>Αριθμός πωλούμενων μόσχων</t>
  </si>
  <si>
    <t>Κατηγορίες μοσχίδων αντικατάστασης με βάση την ηλικία τους</t>
  </si>
  <si>
    <t>Μέση αξία ζώου ανά κατηγορία ηλικίας (€/ζώο)</t>
  </si>
  <si>
    <t>0-1 ετών</t>
  </si>
  <si>
    <t>1-2 ετων</t>
  </si>
  <si>
    <t>2-3 ετών</t>
  </si>
  <si>
    <t>Είδος κατασκευής ή μηχανήματος</t>
  </si>
  <si>
    <t xml:space="preserve"> Υπολλειματική αξία (ευρώ) </t>
  </si>
  <si>
    <t xml:space="preserve"> Διάρκεια παραγωγικής ζωής (χρόνια) </t>
  </si>
  <si>
    <t xml:space="preserve"> Παρελθόντα χρόνια από την κατασκευή - προμήθεια </t>
  </si>
  <si>
    <t> Είδος ζωοτροφής</t>
  </si>
  <si>
    <t>Ενσίρωμα αραβοσίτου</t>
  </si>
  <si>
    <t>Πίτυρα σίτου</t>
  </si>
  <si>
    <t>Βαμβακόπιτα</t>
  </si>
  <si>
    <t>Σανός μηδικής (ιδιοπαραγωγή)</t>
  </si>
  <si>
    <t>Αμοιβή εργασίας/ώρα</t>
  </si>
  <si>
    <t xml:space="preserve">Συνολική αμοιβή εργασίας </t>
  </si>
  <si>
    <t xml:space="preserve">Μηχανήματα τρίτων (μεταφορά ζωοτροφών), ευρώ </t>
  </si>
  <si>
    <t>Δαπάνες συντήρησης κτισμάτων  (1% επι του ΜΕΚ)</t>
  </si>
  <si>
    <t>Δαπάνες συντήρησης εξοπλισμού  (3% επι του ΜΕΚ)</t>
  </si>
  <si>
    <r>
      <t>Έδαφος</t>
    </r>
    <r>
      <rPr>
        <sz val="10"/>
        <rFont val="Times New Roman"/>
        <family val="1"/>
      </rPr>
      <t xml:space="preserve"> γεωργ. εκμετάλλευσης (στρ.)</t>
    </r>
  </si>
  <si>
    <t>Συνολική παραγωγή μηδικής (Kgr)</t>
  </si>
  <si>
    <t>Στρεμματική απόδοση σανού μηδικής (κιλά)</t>
  </si>
  <si>
    <t>Τεκμαρτή τιμή πώλησης (€/Kgr)</t>
  </si>
  <si>
    <t>Αμοιβή ξένης εργασίας (€)</t>
  </si>
  <si>
    <t>Ασβεστούχος νιτρική αμμωνία</t>
  </si>
  <si>
    <t>Νιτρική αμμωνία (Ιούνιος)</t>
  </si>
  <si>
    <t>Νιτρική αμμωνία (Αύγουστος)</t>
  </si>
  <si>
    <t>Ποσότητα αναλωσίμου υλικού (κιλά ή λίτρα)</t>
  </si>
  <si>
    <t>Τιμή αγοράς (€/Kgr)</t>
  </si>
  <si>
    <t>Κοπή και γύρισμα σανού</t>
  </si>
  <si>
    <t>Δαπάνες συντήρησης μηχανημάτων (3% του ΜΕΚ)</t>
  </si>
  <si>
    <t>Επιτόκιο βραχυπρόθεσμων χορηγήσεων (4,8%)</t>
  </si>
  <si>
    <t>Επιτόκιο μεσομακροπρόθεσμων χορηγήσεων (5,95%)</t>
  </si>
  <si>
    <t>Σκληρό σιτάρι</t>
  </si>
  <si>
    <t>Ενοικιαζόμενη γεωργική γή (στρ.)</t>
  </si>
  <si>
    <t>Ενοίκιο εδάφους (€/στρ.)</t>
  </si>
  <si>
    <t>Συνολική παραγωγή σιταριού (κιλα)</t>
  </si>
  <si>
    <t>Οικογενειακή εργασία (ώρες)</t>
  </si>
  <si>
    <t>Ειδος</t>
  </si>
  <si>
    <t>Ποσότητα</t>
  </si>
  <si>
    <t>Τιμή αγοράς/κιλό</t>
  </si>
  <si>
    <t>Σπόρος</t>
  </si>
  <si>
    <t>Λίπασμα (φωσφορική αμμωνία)</t>
  </si>
  <si>
    <t>Ζιζανιοκτόνο</t>
  </si>
  <si>
    <t>4 κιλά</t>
  </si>
  <si>
    <t>2 €/στρέμμα</t>
  </si>
  <si>
    <t>Λίπασμα (νιτρική αμμωνία) - τέλη Φεβρουαρίου - τέλη Μαρτίου</t>
  </si>
  <si>
    <t>Ενοικίαση σπαρτικής μηχανής</t>
  </si>
  <si>
    <t>Ενοικίαση θεριζοαλωνιστικής μηχανής</t>
  </si>
  <si>
    <t>Δάνειο βραχυπρόθεσμο (€)</t>
  </si>
  <si>
    <t>Δαπάνες ασφαλίστρων εξοπλισμού  (0,83 %επι του ΜΕΚ )</t>
  </si>
  <si>
    <t>Κρατήσεις ΕΛ.ΓΑ (3% επι της αξιας των πωλούμενων προϊοντων)</t>
  </si>
  <si>
    <t>Διάρκεια δανείου σε χρόνια</t>
  </si>
  <si>
    <t>Μέσο Επενδυμένο Κεφάλαιο (Κτισμάτων και εξοπλισμού), σε €</t>
  </si>
  <si>
    <t xml:space="preserve">ΜΕΚ κτισμάτων </t>
  </si>
  <si>
    <t>ΜΕΚ εξοπλισμού</t>
  </si>
  <si>
    <t>ΑΓΕΛΑΔΕΣ</t>
  </si>
  <si>
    <t>Μέση αξία ζωϊκού πληθυσμού</t>
  </si>
  <si>
    <t>Κατηγορίες  ζώων</t>
  </si>
  <si>
    <t>Συνολική μέση αξία ζώων (€)</t>
  </si>
  <si>
    <t>Αγελάδες στο 1ο έτος παραγωγικής ζωής</t>
  </si>
  <si>
    <t>Αγελάδες στο 2ο έτος παραγωγικής ζωής</t>
  </si>
  <si>
    <t>Αγελάδες στο 3ο έτος παραγωγικής ζωής</t>
  </si>
  <si>
    <t>Αγελάδες στο 4ο έτος παραγωγικής ζωής</t>
  </si>
  <si>
    <t>Αγελάδες στο 5ο έτος παραγωγικής ζωής</t>
  </si>
  <si>
    <t>Μοσχίδες αντικατάστασης ηλικίας 0-1 ετών</t>
  </si>
  <si>
    <t>Μοσχίδες αντικατάστασης ηλικίας1-2 ετών</t>
  </si>
  <si>
    <t>Συνολική αξία ζωϊκού κεφαλαίου</t>
  </si>
  <si>
    <t>ΜΕΚ παγίου πλήν εδάφους</t>
  </si>
  <si>
    <t>Αξία εδάφους</t>
  </si>
  <si>
    <t>ΜΕΚ κλαδου αγελάδων</t>
  </si>
  <si>
    <t>Ποσοστά μερισμού</t>
  </si>
  <si>
    <t>Μέσο Επενδυμένο Κεφάλαιο (εξοπλισμού και φυτείας), σε €</t>
  </si>
  <si>
    <t xml:space="preserve">Στοιχεία μονίμου και ημιμονίμου κεφαλαίου </t>
  </si>
  <si>
    <t>Ασφάλιστρα (€)</t>
  </si>
  <si>
    <t>Αξία εδάφους (€)</t>
  </si>
  <si>
    <t>Μόνιμο και ημιμόνιμο κεφαλαιο σκληρού σιταριού</t>
  </si>
  <si>
    <t>Ποσοστό μερισμού του σκληρού σιταριού</t>
  </si>
  <si>
    <t>Μέσο Επενδυμενο Κεφαλαιο κλάδουσκλ. σιταριού (&amp; το εδαφος)</t>
  </si>
  <si>
    <t xml:space="preserve">Μέσο Επενδυμενο Ιδιόκτητο Κεφαλαιο κλάδου σκλ. σιταριού </t>
  </si>
  <si>
    <t>ΜΕΚ εκμετάλλευσης</t>
  </si>
  <si>
    <t>Μέσο Επενδυμένο Ιδιόκτητο Κεφάλαιο  εκμετάλλευσης</t>
  </si>
  <si>
    <t>ΠΙΝΑΚΑΣ  ΥΠΟΛΟΓΙΣΜΟΥ  ΕΤΗΣΙΩΝ  ΠΑΡΑΓΩΓΙΚΩΝ ΔΑΠΑΝΩΝ ΑΓΕΛΑΔΩΝ</t>
  </si>
  <si>
    <t>ΠΙΝΑΚΑΣ  ΥΠΟΛΟΓΙΣΜΟΥ  ΕΤΗΣΙΩΝ  ΠΑΡΑΓΩΓΙΚΩΝ ΔΑΠΑΝΩΝ ΣΚΛΗΡΟΥ ΣΙΤΑΡΙΟΥ</t>
  </si>
  <si>
    <t>γ) ασφαλιστικές εισφορές ΟΓΑ</t>
  </si>
  <si>
    <t>δ) τόκοι δαπανών εργασίας</t>
  </si>
  <si>
    <t>Λοιπές δαπάνες (κλαδος αγελάδων)</t>
  </si>
  <si>
    <t>Ασφάλιστρα  (€)</t>
  </si>
  <si>
    <t>2) Ε.Λ.Γ.Α. ( 0,5%)</t>
  </si>
  <si>
    <t>2) Ε.Λ.Γ.Α. (3% )</t>
  </si>
  <si>
    <t>2) Ε.Λ.Γ.Α. ( 3%)</t>
  </si>
  <si>
    <t>ΣύνολοΑκαθ. Προσόδου Αγελάδων</t>
  </si>
  <si>
    <t>Αξία σανού</t>
  </si>
  <si>
    <t>ΣύνολοΑκαθ. Προσόδου Μηδικής</t>
  </si>
  <si>
    <t>Αξία σπόρου</t>
  </si>
  <si>
    <t>ΣύνολοΑκαθ. Προσόδου Σκλ. Σιταριού</t>
  </si>
  <si>
    <r>
      <t>Συνολική Ακαθάριστη Πρόσοδος Γεωργικής Εκμετάλλευσης (</t>
    </r>
    <r>
      <rPr>
        <b/>
        <sz val="10"/>
        <rFont val="Arial"/>
        <family val="2"/>
      </rPr>
      <t>€</t>
    </r>
    <r>
      <rPr>
        <b/>
        <sz val="10"/>
        <rFont val="Times New Roman"/>
        <family val="1"/>
      </rPr>
      <t>)</t>
    </r>
  </si>
  <si>
    <t>Ακαθ. Πρόσοδος Αγελάδων (€)</t>
  </si>
  <si>
    <t>Ακαθ. Πρόσοδος Μηδικής (€)</t>
  </si>
  <si>
    <t>Ακαθ. Πρόσοδος Σκληρού Σιταριού (€)</t>
  </si>
  <si>
    <t>ΠΙΝΑΚΑΣ  ΟΙΚΟΝΟΜΙΚΩΝ ΑΠΟΤΕΛΕΣΜΑΤΩΝ ΑΓΕΛΑΔΩΝ</t>
  </si>
  <si>
    <t>Κόστος παραγωγής γάλακτος (ευρώ/Kgr)</t>
  </si>
  <si>
    <t>Κόστος παραγωγής σκληρού σιταριού (ευρώ/Kgr)</t>
  </si>
  <si>
    <t>ΠΙΝΑΚΑΣ  ΟΙΚΟΝΟΜΙΚΩΝ ΑΠΟΤΕΛΕΣΜΑΤΩΝ ΣΚΛΗΡΟΥ ΣΙΤΑΡΙΟΥ</t>
  </si>
  <si>
    <t xml:space="preserve">2) Ε.Λ.Γ.Α. </t>
  </si>
  <si>
    <t>Δέσιμο σανού σε δέματα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</si>
</sst>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\ &quot;Δρχ&quot;_-;\-* #,##0.0\ &quot;Δρχ&quot;_-;_-* &quot;-&quot;??\ &quot;Δρχ&quot;_-;_-@_-"/>
    <numFmt numFmtId="173" formatCode="_-* #,##0\ &quot;Δρχ&quot;_-;\-* #,##0\ &quot;Δρχ&quot;_-;_-* &quot;-&quot;??\ &quot;Δρχ&quot;_-;_-@_-"/>
    <numFmt numFmtId="174" formatCode="#,##0_ ;\-#,##0\ "/>
    <numFmt numFmtId="175" formatCode="0.0"/>
    <numFmt numFmtId="176" formatCode="#,##0.0"/>
    <numFmt numFmtId="177" formatCode="#,##0.000"/>
    <numFmt numFmtId="178" formatCode="0.0%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0_ ;[Red]\-0\ "/>
    <numFmt numFmtId="190" formatCode="#,##0_ ;[Red]\-#,##0\ "/>
    <numFmt numFmtId="191" formatCode="#,##0.00000_ ;\-#,##0.00000\ "/>
    <numFmt numFmtId="192" formatCode="#,##0.00\ [$€-1];[Red]\-#,##0.00\ [$€-1]"/>
    <numFmt numFmtId="193" formatCode="[$€-2]\ #,##0.00_);[Red]\([$€-2]\ #,##0.00\)"/>
    <numFmt numFmtId="194" formatCode="_-* #,##0.00\ [$€-1]_-;\-* #,##0.00\ [$€-1]_-;_-* &quot;-&quot;??\ [$€-1]_-"/>
    <numFmt numFmtId="195" formatCode="#,##0.00_ ;\-#,##0.00\ "/>
    <numFmt numFmtId="196" formatCode="_-* #,##0.00\ [$€-1]_-;\-* #,##0.00\ [$€-1]_-;_-* &quot;-&quot;??\ [$€-1]_-;_-@_-"/>
    <numFmt numFmtId="197" formatCode="_-* #,##0.0\ [$€-1]_-;\-* #,##0.0\ [$€-1]_-;_-* &quot;-&quot;?\ [$€-1]_-;_-@_-"/>
    <numFmt numFmtId="198" formatCode="_-* #,##0\ [$€-1]_-;\-* #,##0\ [$€-1]_-;_-* &quot;-&quot;\ [$€-1]_-;_-@_-"/>
  </numFmts>
  <fonts count="57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Times New Roman"/>
      <family val="1"/>
    </font>
    <font>
      <b/>
      <i/>
      <sz val="9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name val="Arial Greek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7" fillId="0" borderId="0" xfId="44" applyNumberFormat="1" applyFont="1" applyBorder="1" applyAlignment="1">
      <alignment vertical="center" wrapText="1"/>
    </xf>
    <xf numFmtId="174" fontId="7" fillId="0" borderId="0" xfId="44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5" fontId="7" fillId="0" borderId="0" xfId="0" applyNumberFormat="1" applyFont="1" applyBorder="1" applyAlignment="1">
      <alignment vertical="center" wrapText="1"/>
    </xf>
    <xf numFmtId="175" fontId="7" fillId="0" borderId="0" xfId="44" applyNumberFormat="1" applyFont="1" applyBorder="1" applyAlignment="1">
      <alignment vertical="center" wrapText="1"/>
    </xf>
    <xf numFmtId="175" fontId="3" fillId="33" borderId="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3" fontId="3" fillId="0" borderId="0" xfId="4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4" fontId="7" fillId="0" borderId="0" xfId="4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44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44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92" fontId="8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7" fillId="0" borderId="0" xfId="44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0" fillId="34" borderId="1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4" fontId="3" fillId="0" borderId="0" xfId="46" applyFont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Alignment="1">
      <alignment/>
    </xf>
    <xf numFmtId="10" fontId="3" fillId="0" borderId="22" xfId="46" applyNumberFormat="1" applyFont="1" applyBorder="1" applyAlignment="1">
      <alignment/>
    </xf>
    <xf numFmtId="0" fontId="5" fillId="0" borderId="0" xfId="0" applyFont="1" applyAlignment="1">
      <alignment wrapText="1"/>
    </xf>
    <xf numFmtId="0" fontId="11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right" wrapText="1"/>
    </xf>
    <xf numFmtId="0" fontId="13" fillId="0" borderId="23" xfId="0" applyFont="1" applyBorder="1" applyAlignment="1">
      <alignment vertical="top" wrapText="1"/>
    </xf>
    <xf numFmtId="0" fontId="13" fillId="0" borderId="25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3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wrapText="1"/>
    </xf>
    <xf numFmtId="3" fontId="7" fillId="0" borderId="24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 applyAlignment="1">
      <alignment/>
    </xf>
    <xf numFmtId="0" fontId="7" fillId="36" borderId="24" xfId="0" applyFont="1" applyFill="1" applyBorder="1" applyAlignment="1">
      <alignment wrapText="1"/>
    </xf>
    <xf numFmtId="3" fontId="7" fillId="36" borderId="25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9" xfId="0" applyFont="1" applyBorder="1" applyAlignment="1">
      <alignment/>
    </xf>
    <xf numFmtId="10" fontId="7" fillId="0" borderId="19" xfId="6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9" fontId="7" fillId="0" borderId="19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left" vertical="top" wrapText="1" indent="1"/>
    </xf>
    <xf numFmtId="0" fontId="17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vertical="center" wrapText="1"/>
    </xf>
    <xf numFmtId="175" fontId="7" fillId="0" borderId="14" xfId="0" applyNumberFormat="1" applyFont="1" applyFill="1" applyBorder="1" applyAlignment="1">
      <alignment vertical="center" wrapText="1"/>
    </xf>
    <xf numFmtId="175" fontId="3" fillId="33" borderId="1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right" wrapText="1"/>
    </xf>
    <xf numFmtId="0" fontId="18" fillId="0" borderId="19" xfId="0" applyFont="1" applyBorder="1" applyAlignment="1">
      <alignment horizontal="center" wrapText="1"/>
    </xf>
    <xf numFmtId="3" fontId="16" fillId="0" borderId="19" xfId="0" applyNumberFormat="1" applyFont="1" applyBorder="1" applyAlignment="1">
      <alignment horizontal="right" wrapText="1"/>
    </xf>
    <xf numFmtId="0" fontId="0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3" fontId="2" fillId="37" borderId="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1" fillId="0" borderId="30" xfId="0" applyFont="1" applyBorder="1" applyAlignment="1">
      <alignment horizontal="center" wrapText="1"/>
    </xf>
    <xf numFmtId="174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vertical="center"/>
    </xf>
    <xf numFmtId="0" fontId="22" fillId="38" borderId="14" xfId="0" applyFont="1" applyFill="1" applyBorder="1" applyAlignment="1">
      <alignment vertical="center" wrapText="1"/>
    </xf>
    <xf numFmtId="3" fontId="22" fillId="38" borderId="14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36" borderId="19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4" fontId="6" fillId="0" borderId="0" xfId="44" applyNumberFormat="1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2"/>
    </xf>
    <xf numFmtId="174" fontId="6" fillId="0" borderId="0" xfId="44" applyNumberFormat="1" applyFont="1" applyFill="1" applyBorder="1" applyAlignment="1">
      <alignment horizontal="left" vertical="center" indent="4"/>
    </xf>
    <xf numFmtId="174" fontId="6" fillId="0" borderId="0" xfId="44" applyNumberFormat="1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indent="4"/>
    </xf>
    <xf numFmtId="174" fontId="5" fillId="39" borderId="0" xfId="44" applyNumberFormat="1" applyFont="1" applyFill="1" applyBorder="1" applyAlignment="1">
      <alignment horizontal="left" vertical="center" indent="2"/>
    </xf>
    <xf numFmtId="4" fontId="0" fillId="0" borderId="0" xfId="0" applyNumberFormat="1" applyAlignment="1">
      <alignment vertical="center"/>
    </xf>
    <xf numFmtId="4" fontId="7" fillId="40" borderId="0" xfId="44" applyNumberFormat="1" applyFont="1" applyFill="1" applyBorder="1" applyAlignment="1">
      <alignment horizontal="right" vertical="center"/>
    </xf>
    <xf numFmtId="4" fontId="7" fillId="40" borderId="0" xfId="0" applyNumberFormat="1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/>
    </xf>
    <xf numFmtId="198" fontId="3" fillId="0" borderId="22" xfId="46" applyNumberFormat="1" applyFont="1" applyBorder="1" applyAlignment="1">
      <alignment/>
    </xf>
    <xf numFmtId="198" fontId="3" fillId="0" borderId="36" xfId="46" applyNumberFormat="1" applyFont="1" applyBorder="1" applyAlignment="1">
      <alignment/>
    </xf>
    <xf numFmtId="198" fontId="0" fillId="0" borderId="0" xfId="0" applyNumberFormat="1" applyAlignment="1">
      <alignment/>
    </xf>
    <xf numFmtId="3" fontId="7" fillId="40" borderId="19" xfId="0" applyNumberFormat="1" applyFont="1" applyFill="1" applyBorder="1" applyAlignment="1">
      <alignment/>
    </xf>
    <xf numFmtId="2" fontId="7" fillId="36" borderId="25" xfId="0" applyNumberFormat="1" applyFont="1" applyFill="1" applyBorder="1" applyAlignment="1">
      <alignment horizontal="right"/>
    </xf>
    <xf numFmtId="2" fontId="7" fillId="39" borderId="0" xfId="44" applyNumberFormat="1" applyFont="1" applyFill="1" applyBorder="1" applyAlignment="1">
      <alignment vertical="center" wrapText="1"/>
    </xf>
    <xf numFmtId="0" fontId="16" fillId="39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41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37" borderId="0" xfId="0" applyFont="1" applyFill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15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4" fontId="5" fillId="42" borderId="0" xfId="44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A125" sqref="A125"/>
    </sheetView>
  </sheetViews>
  <sheetFormatPr defaultColWidth="9.00390625" defaultRowHeight="15" customHeight="1"/>
  <cols>
    <col min="1" max="1" width="31.625" style="4" customWidth="1"/>
    <col min="2" max="2" width="16.75390625" style="4" customWidth="1"/>
    <col min="3" max="3" width="20.375" style="4" customWidth="1"/>
    <col min="4" max="4" width="20.625" style="4" customWidth="1"/>
    <col min="5" max="10" width="16.75390625" style="4" customWidth="1"/>
    <col min="11" max="13" width="9.125" style="4" customWidth="1"/>
    <col min="14" max="14" width="11.375" style="4" customWidth="1"/>
    <col min="15" max="16384" width="9.125" style="4" customWidth="1"/>
  </cols>
  <sheetData>
    <row r="1" spans="1:5" ht="15" customHeight="1">
      <c r="A1" s="8"/>
      <c r="B1" s="8"/>
      <c r="C1" s="8"/>
      <c r="D1" s="8"/>
      <c r="E1" s="8"/>
    </row>
    <row r="2" spans="1:5" ht="15" customHeight="1">
      <c r="A2" s="187" t="s">
        <v>135</v>
      </c>
      <c r="B2" s="187"/>
      <c r="C2" s="187"/>
      <c r="D2" s="187"/>
      <c r="E2" s="71"/>
    </row>
    <row r="3" spans="1:5" ht="15" customHeight="1">
      <c r="A3" s="71"/>
      <c r="B3" s="71"/>
      <c r="C3" s="71"/>
      <c r="D3" s="71"/>
      <c r="E3" s="71"/>
    </row>
    <row r="4" spans="1:5" ht="15" customHeight="1">
      <c r="A4" s="72" t="s">
        <v>97</v>
      </c>
      <c r="B4" s="71">
        <v>50</v>
      </c>
      <c r="C4" s="71"/>
      <c r="D4" s="71"/>
      <c r="E4" s="71"/>
    </row>
    <row r="5" spans="1:5" ht="15" customHeight="1">
      <c r="A5" s="72" t="s">
        <v>98</v>
      </c>
      <c r="B5" s="73">
        <v>6500</v>
      </c>
      <c r="C5" s="71"/>
      <c r="D5" s="71"/>
      <c r="E5" s="71"/>
    </row>
    <row r="6" spans="1:5" ht="15" customHeight="1">
      <c r="A6" s="72" t="s">
        <v>99</v>
      </c>
      <c r="B6" s="71">
        <v>0.34</v>
      </c>
      <c r="C6" s="71"/>
      <c r="D6" s="71"/>
      <c r="E6" s="71"/>
    </row>
    <row r="7" spans="1:5" ht="15" customHeight="1">
      <c r="A7" s="72" t="s">
        <v>144</v>
      </c>
      <c r="B7" s="71">
        <v>40</v>
      </c>
      <c r="C7" s="71"/>
      <c r="D7" s="71"/>
      <c r="E7" s="71"/>
    </row>
    <row r="8" spans="1:5" ht="31.5" customHeight="1">
      <c r="A8" s="72" t="s">
        <v>100</v>
      </c>
      <c r="B8" s="74">
        <v>200</v>
      </c>
      <c r="C8" s="71"/>
      <c r="D8" s="71"/>
      <c r="E8" s="71"/>
    </row>
    <row r="9" spans="1:5" ht="32.25" customHeight="1">
      <c r="A9" s="72" t="s">
        <v>101</v>
      </c>
      <c r="B9" s="71">
        <v>5</v>
      </c>
      <c r="C9" s="71"/>
      <c r="D9" s="71"/>
      <c r="E9" s="71"/>
    </row>
    <row r="10" spans="1:5" ht="23.25" customHeight="1">
      <c r="A10" s="72" t="s">
        <v>102</v>
      </c>
      <c r="B10" s="73">
        <v>2000</v>
      </c>
      <c r="C10" s="71"/>
      <c r="D10" s="71"/>
      <c r="E10" s="71"/>
    </row>
    <row r="11" spans="1:5" ht="31.5" customHeight="1">
      <c r="A11" s="72" t="s">
        <v>103</v>
      </c>
      <c r="B11" s="73">
        <v>10</v>
      </c>
      <c r="C11" s="71"/>
      <c r="D11" s="71"/>
      <c r="E11" s="71"/>
    </row>
    <row r="12" spans="1:5" ht="31.5" customHeight="1">
      <c r="A12" s="72" t="s">
        <v>104</v>
      </c>
      <c r="B12" s="71">
        <f>250*2</f>
        <v>500</v>
      </c>
      <c r="C12" s="71"/>
      <c r="D12" s="71"/>
      <c r="E12" s="71"/>
    </row>
    <row r="13" spans="1:5" ht="14.25" customHeight="1" thickBot="1">
      <c r="A13" s="72"/>
      <c r="B13" s="71"/>
      <c r="C13" s="71"/>
      <c r="D13" s="71"/>
      <c r="E13" s="71"/>
    </row>
    <row r="14" spans="1:5" ht="48.75" customHeight="1" thickBot="1">
      <c r="A14" s="65" t="s">
        <v>136</v>
      </c>
      <c r="B14" s="66" t="s">
        <v>137</v>
      </c>
      <c r="C14" s="66" t="s">
        <v>138</v>
      </c>
      <c r="D14" s="71"/>
      <c r="E14" s="71"/>
    </row>
    <row r="15" spans="1:5" ht="14.25" customHeight="1" thickBot="1">
      <c r="A15" s="67" t="s">
        <v>139</v>
      </c>
      <c r="B15" s="68">
        <v>10</v>
      </c>
      <c r="C15" s="68">
        <v>1850</v>
      </c>
      <c r="D15" s="71"/>
      <c r="E15" s="71"/>
    </row>
    <row r="16" spans="1:5" ht="14.25" customHeight="1" thickBot="1">
      <c r="A16" s="67" t="s">
        <v>140</v>
      </c>
      <c r="B16" s="68">
        <v>10</v>
      </c>
      <c r="C16" s="68">
        <v>1550</v>
      </c>
      <c r="D16" s="71"/>
      <c r="E16" s="71"/>
    </row>
    <row r="17" spans="1:5" ht="14.25" customHeight="1" thickBot="1">
      <c r="A17" s="67" t="s">
        <v>141</v>
      </c>
      <c r="B17" s="68">
        <v>10</v>
      </c>
      <c r="C17" s="68">
        <v>1250</v>
      </c>
      <c r="D17" s="71"/>
      <c r="E17" s="71"/>
    </row>
    <row r="18" spans="1:5" ht="14.25" customHeight="1" thickBot="1">
      <c r="A18" s="67" t="s">
        <v>142</v>
      </c>
      <c r="B18" s="68">
        <v>10</v>
      </c>
      <c r="C18" s="68">
        <v>950</v>
      </c>
      <c r="D18" s="71"/>
      <c r="E18" s="71"/>
    </row>
    <row r="19" spans="1:5" ht="14.25" customHeight="1" thickBot="1">
      <c r="A19" s="67" t="s">
        <v>143</v>
      </c>
      <c r="B19" s="68">
        <v>10</v>
      </c>
      <c r="C19" s="68">
        <v>650</v>
      </c>
      <c r="D19" s="71"/>
      <c r="E19" s="71"/>
    </row>
    <row r="20" spans="1:5" ht="14.25" customHeight="1">
      <c r="A20" s="72"/>
      <c r="B20" s="71"/>
      <c r="C20" s="71"/>
      <c r="D20" s="71"/>
      <c r="E20" s="71"/>
    </row>
    <row r="21" spans="1:5" ht="14.25" customHeight="1" thickBot="1">
      <c r="A21" s="72"/>
      <c r="B21" s="71"/>
      <c r="C21" s="71"/>
      <c r="D21" s="71"/>
      <c r="E21" s="71"/>
    </row>
    <row r="22" spans="1:5" ht="57.75" customHeight="1" thickBot="1">
      <c r="A22" s="65" t="s">
        <v>145</v>
      </c>
      <c r="B22" s="66" t="s">
        <v>137</v>
      </c>
      <c r="C22" s="69" t="s">
        <v>146</v>
      </c>
      <c r="D22" s="71"/>
      <c r="E22" s="71"/>
    </row>
    <row r="23" spans="1:5" ht="14.25" customHeight="1" thickBot="1">
      <c r="A23" s="67" t="s">
        <v>147</v>
      </c>
      <c r="B23" s="68">
        <v>10</v>
      </c>
      <c r="C23" s="70">
        <v>600</v>
      </c>
      <c r="D23" s="71"/>
      <c r="E23" s="71"/>
    </row>
    <row r="24" spans="1:5" ht="14.25" customHeight="1" thickBot="1">
      <c r="A24" s="67" t="s">
        <v>148</v>
      </c>
      <c r="B24" s="68">
        <v>10</v>
      </c>
      <c r="C24" s="70">
        <v>1300</v>
      </c>
      <c r="D24" s="71"/>
      <c r="E24" s="71"/>
    </row>
    <row r="25" spans="1:5" ht="14.25" customHeight="1" thickBot="1">
      <c r="A25" s="67" t="s">
        <v>149</v>
      </c>
      <c r="B25" s="68">
        <v>10</v>
      </c>
      <c r="C25" s="70">
        <v>1900</v>
      </c>
      <c r="D25" s="71"/>
      <c r="E25" s="71"/>
    </row>
    <row r="26" spans="1:5" ht="14.25" customHeight="1">
      <c r="A26" s="72"/>
      <c r="B26" s="71"/>
      <c r="C26" s="71"/>
      <c r="D26" s="71"/>
      <c r="E26" s="71"/>
    </row>
    <row r="27" spans="1:5" ht="14.25" customHeight="1">
      <c r="A27" s="72"/>
      <c r="B27" s="71"/>
      <c r="C27" s="71"/>
      <c r="D27" s="71"/>
      <c r="E27" s="71"/>
    </row>
    <row r="28" spans="1:5" ht="15" customHeight="1" thickBot="1">
      <c r="A28" s="72"/>
      <c r="B28" s="71"/>
      <c r="C28" s="71"/>
      <c r="D28" s="71"/>
      <c r="E28" s="71"/>
    </row>
    <row r="29" spans="1:5" ht="54.75" customHeight="1" thickBot="1">
      <c r="A29" s="75" t="s">
        <v>150</v>
      </c>
      <c r="B29" s="76" t="s">
        <v>105</v>
      </c>
      <c r="C29" s="76" t="s">
        <v>151</v>
      </c>
      <c r="D29" s="76" t="s">
        <v>152</v>
      </c>
      <c r="E29" s="76" t="s">
        <v>153</v>
      </c>
    </row>
    <row r="30" spans="1:5" ht="15" customHeight="1" thickBot="1">
      <c r="A30" s="77" t="s">
        <v>106</v>
      </c>
      <c r="B30" s="78">
        <v>110000</v>
      </c>
      <c r="C30" s="79">
        <v>0</v>
      </c>
      <c r="D30" s="79">
        <v>25</v>
      </c>
      <c r="E30" s="79">
        <v>10</v>
      </c>
    </row>
    <row r="31" spans="1:5" ht="15" customHeight="1" thickBot="1">
      <c r="A31" s="77" t="s">
        <v>107</v>
      </c>
      <c r="B31" s="78">
        <v>15000</v>
      </c>
      <c r="C31" s="79">
        <v>0</v>
      </c>
      <c r="D31" s="79">
        <v>25</v>
      </c>
      <c r="E31" s="79">
        <v>10</v>
      </c>
    </row>
    <row r="32" spans="1:5" ht="15" customHeight="1" thickBot="1">
      <c r="A32" s="77" t="s">
        <v>108</v>
      </c>
      <c r="B32" s="78">
        <v>10780</v>
      </c>
      <c r="C32" s="79">
        <v>0</v>
      </c>
      <c r="D32" s="79">
        <v>25</v>
      </c>
      <c r="E32" s="79">
        <v>10</v>
      </c>
    </row>
    <row r="33" spans="1:5" ht="15" customHeight="1" thickBot="1">
      <c r="A33" s="80" t="s">
        <v>109</v>
      </c>
      <c r="B33" s="81">
        <v>4500</v>
      </c>
      <c r="C33" s="79">
        <v>0</v>
      </c>
      <c r="D33" s="79">
        <v>25</v>
      </c>
      <c r="E33" s="79">
        <v>10</v>
      </c>
    </row>
    <row r="34" spans="1:5" ht="15" customHeight="1" thickBot="1">
      <c r="A34" s="77" t="s">
        <v>110</v>
      </c>
      <c r="B34" s="78">
        <v>5600</v>
      </c>
      <c r="C34" s="79">
        <v>0</v>
      </c>
      <c r="D34" s="79">
        <v>10</v>
      </c>
      <c r="E34" s="79">
        <v>4</v>
      </c>
    </row>
    <row r="35" spans="1:5" ht="15" customHeight="1" thickBot="1">
      <c r="A35" s="77" t="s">
        <v>111</v>
      </c>
      <c r="B35" s="78">
        <v>30000</v>
      </c>
      <c r="C35" s="79">
        <v>0</v>
      </c>
      <c r="D35" s="79">
        <v>12</v>
      </c>
      <c r="E35" s="79">
        <v>4</v>
      </c>
    </row>
    <row r="36" spans="1:5" ht="15" customHeight="1">
      <c r="A36" s="72"/>
      <c r="B36" s="71"/>
      <c r="C36" s="71"/>
      <c r="D36" s="71"/>
      <c r="E36" s="71"/>
    </row>
    <row r="37" spans="1:5" ht="15" customHeight="1">
      <c r="A37" s="72"/>
      <c r="B37" s="71"/>
      <c r="C37" s="71"/>
      <c r="D37" s="71"/>
      <c r="E37" s="71"/>
    </row>
    <row r="38" spans="1:5" ht="15" customHeight="1" thickBot="1">
      <c r="A38" s="188" t="s">
        <v>112</v>
      </c>
      <c r="B38" s="189"/>
      <c r="C38" s="189"/>
      <c r="D38" s="190"/>
      <c r="E38" s="71"/>
    </row>
    <row r="39" spans="1:5" ht="27" customHeight="1" thickBot="1">
      <c r="A39" s="82" t="s">
        <v>154</v>
      </c>
      <c r="B39" s="83" t="s">
        <v>113</v>
      </c>
      <c r="C39" s="83" t="s">
        <v>114</v>
      </c>
      <c r="D39" s="84" t="s">
        <v>115</v>
      </c>
      <c r="E39" s="71"/>
    </row>
    <row r="40" spans="1:5" ht="15" customHeight="1" thickBot="1">
      <c r="A40" s="77" t="s">
        <v>155</v>
      </c>
      <c r="B40" s="78">
        <v>714000</v>
      </c>
      <c r="C40" s="79">
        <v>0.04</v>
      </c>
      <c r="D40" s="85">
        <f>B40*C40</f>
        <v>28560</v>
      </c>
      <c r="E40" s="71"/>
    </row>
    <row r="41" spans="1:5" ht="15" customHeight="1" thickBot="1">
      <c r="A41" s="77" t="s">
        <v>156</v>
      </c>
      <c r="B41" s="78">
        <v>88000</v>
      </c>
      <c r="C41" s="79">
        <v>0.16</v>
      </c>
      <c r="D41" s="85">
        <f>B41*C41</f>
        <v>14080</v>
      </c>
      <c r="E41" s="71"/>
    </row>
    <row r="42" spans="1:5" ht="15" customHeight="1" thickBot="1">
      <c r="A42" s="77" t="s">
        <v>157</v>
      </c>
      <c r="B42" s="78">
        <v>37000</v>
      </c>
      <c r="C42" s="79">
        <v>0.17</v>
      </c>
      <c r="D42" s="85">
        <f>B42*C42</f>
        <v>6290</v>
      </c>
      <c r="E42" s="71"/>
    </row>
    <row r="43" spans="1:5" ht="15" customHeight="1" thickBot="1">
      <c r="A43" s="86" t="s">
        <v>158</v>
      </c>
      <c r="B43" s="87">
        <v>82500</v>
      </c>
      <c r="C43" s="181">
        <v>0.2</v>
      </c>
      <c r="D43" s="164">
        <f>B43*C43</f>
        <v>16500</v>
      </c>
      <c r="E43" s="71"/>
    </row>
    <row r="44" spans="1:5" ht="15" customHeight="1">
      <c r="A44" s="194" t="s">
        <v>0</v>
      </c>
      <c r="B44" s="194"/>
      <c r="C44" s="194"/>
      <c r="D44" s="165">
        <f>SUM(D40:D43)</f>
        <v>65430</v>
      </c>
      <c r="E44" s="88"/>
    </row>
    <row r="45" spans="1:5" ht="15" customHeight="1">
      <c r="A45" s="72"/>
      <c r="B45" s="89"/>
      <c r="C45" s="71"/>
      <c r="D45" s="71"/>
      <c r="E45" s="71"/>
    </row>
    <row r="46" spans="1:5" ht="29.25" customHeight="1">
      <c r="A46" s="72" t="s">
        <v>116</v>
      </c>
      <c r="B46" s="71">
        <v>1300</v>
      </c>
      <c r="C46" s="71"/>
      <c r="D46" s="71"/>
      <c r="E46" s="71"/>
    </row>
    <row r="47" spans="1:5" ht="27" customHeight="1">
      <c r="A47" s="72" t="s">
        <v>117</v>
      </c>
      <c r="B47" s="71">
        <v>2100</v>
      </c>
      <c r="C47" s="71"/>
      <c r="D47" s="71"/>
      <c r="E47" s="71"/>
    </row>
    <row r="48" spans="1:5" ht="27" customHeight="1">
      <c r="A48" s="72" t="s">
        <v>161</v>
      </c>
      <c r="B48" s="71">
        <v>1820</v>
      </c>
      <c r="C48" s="71"/>
      <c r="D48" s="71"/>
      <c r="E48" s="71"/>
    </row>
    <row r="49" spans="1:5" ht="27" customHeight="1">
      <c r="A49" s="72" t="s">
        <v>0</v>
      </c>
      <c r="B49" s="166">
        <f>SUM(B46:B48)</f>
        <v>5220</v>
      </c>
      <c r="C49" s="71"/>
      <c r="D49" s="71"/>
      <c r="E49" s="71"/>
    </row>
    <row r="50" spans="1:5" ht="15" customHeight="1">
      <c r="A50" s="72"/>
      <c r="B50" s="71"/>
      <c r="C50" s="71"/>
      <c r="D50" s="71"/>
      <c r="E50" s="71"/>
    </row>
    <row r="51" spans="1:5" ht="15" customHeight="1">
      <c r="A51" s="188" t="s">
        <v>231</v>
      </c>
      <c r="B51" s="190"/>
      <c r="C51" s="71"/>
      <c r="D51" s="71"/>
      <c r="E51" s="71"/>
    </row>
    <row r="52" spans="1:5" ht="15" customHeight="1">
      <c r="A52" s="71"/>
      <c r="B52" s="89"/>
      <c r="C52" s="71"/>
      <c r="D52" s="71"/>
      <c r="E52" s="71"/>
    </row>
    <row r="53" spans="1:5" ht="15" customHeight="1">
      <c r="A53" s="72" t="s">
        <v>118</v>
      </c>
      <c r="B53" s="71">
        <v>8960</v>
      </c>
      <c r="C53" s="71"/>
      <c r="D53" s="71"/>
      <c r="E53" s="71"/>
    </row>
    <row r="54" spans="1:5" ht="15" customHeight="1">
      <c r="A54" s="72" t="s">
        <v>159</v>
      </c>
      <c r="B54" s="71">
        <v>3</v>
      </c>
      <c r="C54" s="71"/>
      <c r="D54" s="71"/>
      <c r="E54" s="71"/>
    </row>
    <row r="55" spans="1:5" ht="21.75" customHeight="1">
      <c r="A55" s="72" t="s">
        <v>160</v>
      </c>
      <c r="B55" s="71">
        <f>B54*B53</f>
        <v>26880</v>
      </c>
      <c r="C55" s="71"/>
      <c r="D55" s="71"/>
      <c r="E55" s="71"/>
    </row>
    <row r="56" spans="1:5" ht="15" customHeight="1">
      <c r="A56" s="72" t="s">
        <v>119</v>
      </c>
      <c r="B56" s="71">
        <v>180</v>
      </c>
      <c r="C56" s="71"/>
      <c r="D56" s="71"/>
      <c r="E56" s="71"/>
    </row>
    <row r="57" spans="1:5" ht="27" customHeight="1">
      <c r="A57" s="72" t="s">
        <v>120</v>
      </c>
      <c r="B57" s="71">
        <f>1524</f>
        <v>1524</v>
      </c>
      <c r="C57" s="71"/>
      <c r="D57" s="71"/>
      <c r="E57" s="71"/>
    </row>
    <row r="58" spans="1:5" ht="33.75" customHeight="1">
      <c r="A58" s="72" t="s">
        <v>121</v>
      </c>
      <c r="B58" s="71">
        <v>0.005</v>
      </c>
      <c r="C58" s="71"/>
      <c r="D58" s="71"/>
      <c r="E58" s="71"/>
    </row>
    <row r="59" spans="1:5" ht="27" customHeight="1">
      <c r="A59" s="72" t="s">
        <v>122</v>
      </c>
      <c r="B59" s="71">
        <v>0.0595</v>
      </c>
      <c r="C59" s="71"/>
      <c r="D59" s="71"/>
      <c r="E59" s="71"/>
    </row>
    <row r="60" spans="1:5" ht="15" customHeight="1">
      <c r="A60" s="72" t="s">
        <v>123</v>
      </c>
      <c r="B60" s="71">
        <v>0.048</v>
      </c>
      <c r="C60" s="71"/>
      <c r="D60" s="71"/>
      <c r="E60" s="71"/>
    </row>
    <row r="61" spans="1:5" ht="26.25" customHeight="1">
      <c r="A61" s="72"/>
      <c r="B61" s="71"/>
      <c r="C61" s="71"/>
      <c r="D61" s="71"/>
      <c r="E61" s="71"/>
    </row>
    <row r="62" spans="1:5" ht="25.5" customHeight="1">
      <c r="A62" s="72" t="s">
        <v>162</v>
      </c>
      <c r="B62" s="71">
        <v>0.01</v>
      </c>
      <c r="C62" s="71"/>
      <c r="D62" s="71"/>
      <c r="E62" s="71"/>
    </row>
    <row r="63" spans="1:5" ht="25.5" customHeight="1">
      <c r="A63" s="72" t="s">
        <v>163</v>
      </c>
      <c r="B63" s="71">
        <v>0.03</v>
      </c>
      <c r="C63" s="71"/>
      <c r="D63" s="71"/>
      <c r="E63" s="71"/>
    </row>
    <row r="64" spans="1:5" ht="28.5" customHeight="1">
      <c r="A64" s="72" t="s">
        <v>124</v>
      </c>
      <c r="B64" s="71">
        <v>0.0083</v>
      </c>
      <c r="C64" s="71"/>
      <c r="D64" s="71"/>
      <c r="E64" s="71"/>
    </row>
    <row r="65" spans="1:5" ht="15" customHeight="1">
      <c r="A65" s="71"/>
      <c r="B65" s="71"/>
      <c r="C65" s="71"/>
      <c r="D65" s="71"/>
      <c r="E65" s="71"/>
    </row>
    <row r="66" spans="1:5" ht="30" customHeight="1">
      <c r="A66" s="90" t="s">
        <v>164</v>
      </c>
      <c r="B66" s="71">
        <v>6</v>
      </c>
      <c r="C66" s="71"/>
      <c r="D66" s="71"/>
      <c r="E66" s="71"/>
    </row>
    <row r="67" spans="1:5" ht="15" customHeight="1">
      <c r="A67" s="72" t="s">
        <v>125</v>
      </c>
      <c r="B67" s="71">
        <v>15</v>
      </c>
      <c r="C67" s="71"/>
      <c r="D67" s="71"/>
      <c r="E67" s="71"/>
    </row>
    <row r="68" spans="1:5" ht="15" customHeight="1">
      <c r="A68" s="72" t="s">
        <v>126</v>
      </c>
      <c r="B68" s="71">
        <v>550</v>
      </c>
      <c r="C68" s="71"/>
      <c r="D68" s="71"/>
      <c r="E68" s="71"/>
    </row>
    <row r="69" spans="1:5" ht="15" customHeight="1">
      <c r="A69" s="72"/>
      <c r="B69" s="71"/>
      <c r="C69" s="71"/>
      <c r="D69" s="71"/>
      <c r="E69" s="71"/>
    </row>
    <row r="70" spans="1:5" ht="15" customHeight="1">
      <c r="A70" s="72"/>
      <c r="B70" s="71"/>
      <c r="C70" s="71"/>
      <c r="D70" s="71"/>
      <c r="E70" s="71"/>
    </row>
    <row r="71" spans="1:5" ht="15" customHeight="1">
      <c r="A71" s="191" t="s">
        <v>127</v>
      </c>
      <c r="B71" s="192"/>
      <c r="C71" s="192"/>
      <c r="D71" s="193"/>
      <c r="E71" s="71"/>
    </row>
    <row r="72" spans="1:5" ht="15" customHeight="1">
      <c r="A72" s="195" t="s">
        <v>128</v>
      </c>
      <c r="B72" s="196"/>
      <c r="C72" s="196"/>
      <c r="D72" s="197"/>
      <c r="E72" s="71"/>
    </row>
    <row r="73" spans="1:5" ht="15" customHeight="1">
      <c r="A73" s="84" t="s">
        <v>129</v>
      </c>
      <c r="B73" s="91">
        <f>B4*B5*B6</f>
        <v>110500.00000000001</v>
      </c>
      <c r="C73" s="92">
        <f>B73/B76</f>
        <v>0.8947368421052632</v>
      </c>
      <c r="D73" s="91" t="s">
        <v>130</v>
      </c>
      <c r="E73" s="71"/>
    </row>
    <row r="74" spans="1:5" ht="15" customHeight="1">
      <c r="A74" s="84" t="s">
        <v>131</v>
      </c>
      <c r="B74" s="91">
        <f>B7*B8</f>
        <v>8000</v>
      </c>
      <c r="C74" s="92">
        <f>B74/B76</f>
        <v>0.06477732793522266</v>
      </c>
      <c r="D74" s="91" t="s">
        <v>132</v>
      </c>
      <c r="E74" s="71"/>
    </row>
    <row r="75" spans="1:5" ht="23.25" customHeight="1">
      <c r="A75" s="84" t="s">
        <v>133</v>
      </c>
      <c r="B75" s="91">
        <f>B11*B12</f>
        <v>5000</v>
      </c>
      <c r="C75" s="92">
        <f>B75/B76</f>
        <v>0.040485829959514164</v>
      </c>
      <c r="D75" s="91" t="s">
        <v>132</v>
      </c>
      <c r="E75" s="71"/>
    </row>
    <row r="76" spans="1:5" ht="30.75" customHeight="1">
      <c r="A76" s="93" t="s">
        <v>134</v>
      </c>
      <c r="B76" s="91">
        <f>SUM(B73:B75)</f>
        <v>123500.00000000001</v>
      </c>
      <c r="C76" s="94">
        <v>1</v>
      </c>
      <c r="D76" s="71"/>
      <c r="E76" s="71"/>
    </row>
    <row r="77" spans="1:5" ht="15" customHeight="1">
      <c r="A77" s="71"/>
      <c r="B77" s="71"/>
      <c r="C77" s="71"/>
      <c r="D77" s="71"/>
      <c r="E77" s="71"/>
    </row>
    <row r="80" spans="1:3" ht="15" customHeight="1">
      <c r="A80" s="198" t="s">
        <v>71</v>
      </c>
      <c r="B80" s="198"/>
      <c r="C80" s="198"/>
    </row>
    <row r="82" spans="1:4" ht="15" customHeight="1" thickBot="1">
      <c r="A82" s="185" t="s">
        <v>69</v>
      </c>
      <c r="B82" s="185"/>
      <c r="C82" s="3"/>
      <c r="D82" s="9"/>
    </row>
    <row r="83" spans="1:7" ht="78" customHeight="1" thickBot="1">
      <c r="A83" s="41" t="s">
        <v>63</v>
      </c>
      <c r="B83" s="37" t="s">
        <v>48</v>
      </c>
      <c r="C83" s="37" t="s">
        <v>49</v>
      </c>
      <c r="D83" s="37" t="s">
        <v>55</v>
      </c>
      <c r="E83" s="37" t="s">
        <v>91</v>
      </c>
      <c r="F83" s="36" t="s">
        <v>92</v>
      </c>
      <c r="G83" s="36" t="s">
        <v>93</v>
      </c>
    </row>
    <row r="84" spans="1:7" ht="15" customHeight="1" thickBot="1">
      <c r="A84" s="38" t="s">
        <v>64</v>
      </c>
      <c r="B84" s="39">
        <v>28000</v>
      </c>
      <c r="C84" s="39">
        <v>0</v>
      </c>
      <c r="D84" s="39">
        <v>15</v>
      </c>
      <c r="E84" s="40">
        <v>8</v>
      </c>
      <c r="F84" s="39">
        <v>0.7</v>
      </c>
      <c r="G84" s="39">
        <v>0.3</v>
      </c>
    </row>
    <row r="85" spans="1:7" ht="15" customHeight="1" thickBot="1">
      <c r="A85" s="38" t="s">
        <v>44</v>
      </c>
      <c r="B85" s="39">
        <v>2000</v>
      </c>
      <c r="C85" s="39">
        <v>0</v>
      </c>
      <c r="D85" s="39">
        <v>15</v>
      </c>
      <c r="E85" s="40">
        <v>12</v>
      </c>
      <c r="F85" s="39">
        <v>0.8</v>
      </c>
      <c r="G85" s="39">
        <v>0.2</v>
      </c>
    </row>
    <row r="86" spans="1:7" ht="15" customHeight="1" thickBot="1">
      <c r="A86" s="38" t="s">
        <v>94</v>
      </c>
      <c r="B86" s="39">
        <v>2500</v>
      </c>
      <c r="C86" s="39">
        <v>0</v>
      </c>
      <c r="D86" s="39">
        <v>15</v>
      </c>
      <c r="E86" s="40">
        <v>12</v>
      </c>
      <c r="F86" s="39"/>
      <c r="G86" s="39">
        <v>1</v>
      </c>
    </row>
    <row r="87" spans="1:7" ht="15" customHeight="1" thickBot="1">
      <c r="A87" s="38" t="s">
        <v>65</v>
      </c>
      <c r="B87" s="39">
        <v>1000</v>
      </c>
      <c r="C87" s="39">
        <v>0</v>
      </c>
      <c r="D87" s="39">
        <v>15</v>
      </c>
      <c r="E87" s="40">
        <v>10</v>
      </c>
      <c r="F87" s="39">
        <v>0.6</v>
      </c>
      <c r="G87" s="39">
        <v>0.4</v>
      </c>
    </row>
    <row r="88" spans="1:7" ht="15" customHeight="1" thickBot="1">
      <c r="A88" s="38" t="s">
        <v>95</v>
      </c>
      <c r="B88" s="39">
        <v>1100</v>
      </c>
      <c r="C88" s="39">
        <v>0</v>
      </c>
      <c r="D88" s="39">
        <v>15</v>
      </c>
      <c r="E88" s="40">
        <v>9</v>
      </c>
      <c r="F88" s="64"/>
      <c r="G88" s="39">
        <v>1</v>
      </c>
    </row>
    <row r="89" spans="1:7" ht="15" customHeight="1" thickBot="1">
      <c r="A89" s="38" t="s">
        <v>66</v>
      </c>
      <c r="B89" s="39">
        <v>1200</v>
      </c>
      <c r="C89" s="39">
        <v>0</v>
      </c>
      <c r="D89" s="39">
        <v>15</v>
      </c>
      <c r="E89" s="40">
        <v>7</v>
      </c>
      <c r="F89" s="39">
        <v>1</v>
      </c>
      <c r="G89" s="39"/>
    </row>
    <row r="90" spans="1:7" ht="27.75" customHeight="1" thickBot="1">
      <c r="A90" s="38" t="s">
        <v>67</v>
      </c>
      <c r="B90" s="39">
        <v>1500</v>
      </c>
      <c r="C90" s="39">
        <v>0</v>
      </c>
      <c r="D90" s="39">
        <v>15</v>
      </c>
      <c r="E90" s="40">
        <v>7</v>
      </c>
      <c r="F90" s="39">
        <v>1</v>
      </c>
      <c r="G90" s="39"/>
    </row>
    <row r="91" spans="1:7" ht="15" customHeight="1" thickBot="1">
      <c r="A91" s="38" t="s">
        <v>68</v>
      </c>
      <c r="B91" s="39">
        <v>5000</v>
      </c>
      <c r="C91" s="39">
        <v>0</v>
      </c>
      <c r="D91" s="39">
        <v>4</v>
      </c>
      <c r="E91" s="39">
        <v>1</v>
      </c>
      <c r="F91" s="39" t="s">
        <v>96</v>
      </c>
      <c r="G91" s="39"/>
    </row>
    <row r="96" spans="1:11" ht="15" customHeight="1">
      <c r="A96" s="186"/>
      <c r="B96" s="186"/>
      <c r="K96" s="5"/>
    </row>
    <row r="97" spans="1:11" ht="15" customHeight="1">
      <c r="A97" s="186" t="s">
        <v>71</v>
      </c>
      <c r="B97" s="186"/>
      <c r="K97" s="5"/>
    </row>
    <row r="98" spans="1:5" ht="15" customHeight="1">
      <c r="A98" s="8" t="s">
        <v>46</v>
      </c>
      <c r="B98" s="10">
        <v>50</v>
      </c>
      <c r="C98" s="8"/>
      <c r="D98" s="8"/>
      <c r="E98" s="8"/>
    </row>
    <row r="99" spans="1:5" ht="15" customHeight="1">
      <c r="A99" s="8" t="s">
        <v>60</v>
      </c>
      <c r="B99" s="11">
        <v>40</v>
      </c>
      <c r="C99" s="8"/>
      <c r="D99" s="8"/>
      <c r="E99" s="8"/>
    </row>
    <row r="100" spans="1:5" ht="15" customHeight="1">
      <c r="A100" s="8" t="s">
        <v>62</v>
      </c>
      <c r="B100" s="11">
        <v>800</v>
      </c>
      <c r="C100" s="8"/>
      <c r="D100" s="8"/>
      <c r="E100" s="8"/>
    </row>
    <row r="101" spans="1:5" ht="24.75" customHeight="1">
      <c r="A101" s="8" t="s">
        <v>166</v>
      </c>
      <c r="B101" s="11">
        <v>1650</v>
      </c>
      <c r="C101" s="8"/>
      <c r="D101" s="8"/>
      <c r="E101" s="8"/>
    </row>
    <row r="102" spans="1:5" ht="26.25" customHeight="1">
      <c r="A102" s="8" t="s">
        <v>165</v>
      </c>
      <c r="B102" s="11">
        <f>B101*B98</f>
        <v>82500</v>
      </c>
      <c r="C102" s="8"/>
      <c r="D102" s="8"/>
      <c r="E102" s="8"/>
    </row>
    <row r="103" spans="1:5" ht="15" customHeight="1">
      <c r="A103" s="8" t="s">
        <v>167</v>
      </c>
      <c r="B103" s="182">
        <v>0.18</v>
      </c>
      <c r="C103" s="8"/>
      <c r="D103" s="8"/>
      <c r="E103" s="8"/>
    </row>
    <row r="104" spans="1:5" ht="15" customHeight="1">
      <c r="A104" s="8" t="s">
        <v>168</v>
      </c>
      <c r="B104" s="11">
        <f>55*0.4*B98</f>
        <v>1100</v>
      </c>
      <c r="C104" s="8"/>
      <c r="D104" s="8"/>
      <c r="E104" s="8"/>
    </row>
    <row r="105" spans="1:5" ht="15" customHeight="1">
      <c r="A105" s="8" t="s">
        <v>51</v>
      </c>
      <c r="B105" s="11">
        <f>15+25+300</f>
        <v>340</v>
      </c>
      <c r="C105" s="8"/>
      <c r="D105" s="8"/>
      <c r="E105" s="8"/>
    </row>
    <row r="106" spans="1:5" ht="15" customHeight="1">
      <c r="A106" s="8" t="s">
        <v>47</v>
      </c>
      <c r="B106" s="11">
        <v>3</v>
      </c>
      <c r="C106" s="8"/>
      <c r="D106" s="8"/>
      <c r="E106" s="8"/>
    </row>
    <row r="107" spans="1:6" ht="15" customHeight="1">
      <c r="A107" s="96"/>
      <c r="B107" s="7"/>
      <c r="C107" s="7"/>
      <c r="D107" s="8"/>
      <c r="E107" s="8"/>
      <c r="F107" s="8"/>
    </row>
    <row r="108" spans="1:5" ht="15" customHeight="1">
      <c r="A108" s="183" t="s">
        <v>43</v>
      </c>
      <c r="B108" s="183"/>
      <c r="C108" s="8"/>
      <c r="D108" s="8"/>
      <c r="E108" s="8"/>
    </row>
    <row r="109" spans="1:8" ht="49.5" customHeight="1">
      <c r="A109" s="8"/>
      <c r="B109" s="9" t="s">
        <v>172</v>
      </c>
      <c r="C109" s="9" t="s">
        <v>173</v>
      </c>
      <c r="D109" s="9" t="s">
        <v>50</v>
      </c>
      <c r="E109" s="8"/>
      <c r="H109" s="34"/>
    </row>
    <row r="110" spans="1:5" ht="15" customHeight="1">
      <c r="A110" s="8" t="s">
        <v>169</v>
      </c>
      <c r="B110" s="13">
        <f>20*B98</f>
        <v>1000</v>
      </c>
      <c r="C110" s="95">
        <v>0.24</v>
      </c>
      <c r="D110" s="13">
        <f>B110*C110</f>
        <v>240</v>
      </c>
      <c r="E110" s="8"/>
    </row>
    <row r="111" spans="1:5" ht="15" customHeight="1">
      <c r="A111" s="8" t="s">
        <v>170</v>
      </c>
      <c r="B111" s="13">
        <f>8*B98</f>
        <v>400</v>
      </c>
      <c r="C111" s="95">
        <v>0.27</v>
      </c>
      <c r="D111" s="13">
        <f>B111*C111</f>
        <v>108</v>
      </c>
      <c r="E111" s="8"/>
    </row>
    <row r="112" spans="1:5" ht="15" customHeight="1">
      <c r="A112" s="8" t="s">
        <v>171</v>
      </c>
      <c r="B112" s="13">
        <f>8*B98</f>
        <v>400</v>
      </c>
      <c r="C112" s="95">
        <v>0.27</v>
      </c>
      <c r="D112" s="13">
        <f>B112*C112</f>
        <v>108</v>
      </c>
      <c r="E112" s="8"/>
    </row>
    <row r="113" spans="1:5" ht="15" customHeight="1">
      <c r="A113" s="8" t="s">
        <v>70</v>
      </c>
      <c r="B113" s="13">
        <f>72+4125+240</f>
        <v>4437</v>
      </c>
      <c r="C113" s="13">
        <v>0.8</v>
      </c>
      <c r="D113" s="13">
        <f>B113*C113</f>
        <v>3549.6000000000004</v>
      </c>
      <c r="E113" s="8"/>
    </row>
    <row r="114" spans="1:5" ht="15" customHeight="1">
      <c r="A114" s="184" t="s">
        <v>0</v>
      </c>
      <c r="B114" s="184"/>
      <c r="C114" s="97"/>
      <c r="D114" s="12">
        <f>SUM(D110:D113)</f>
        <v>4005.6000000000004</v>
      </c>
      <c r="E114" s="8"/>
    </row>
    <row r="115" spans="1:5" ht="15" customHeight="1">
      <c r="A115" s="9"/>
      <c r="B115" s="13"/>
      <c r="C115" s="10"/>
      <c r="D115" s="8"/>
      <c r="E115" s="8"/>
    </row>
    <row r="116" spans="1:5" ht="15" customHeight="1">
      <c r="A116" s="9"/>
      <c r="B116" s="6"/>
      <c r="C116" s="98"/>
      <c r="D116" s="9"/>
      <c r="E116" s="8"/>
    </row>
    <row r="117" spans="1:5" ht="15" customHeight="1">
      <c r="A117" s="183" t="s">
        <v>52</v>
      </c>
      <c r="B117" s="183"/>
      <c r="C117" s="98"/>
      <c r="D117" s="9"/>
      <c r="E117" s="8"/>
    </row>
    <row r="118" spans="1:5" ht="15" customHeight="1">
      <c r="A118" s="8" t="s">
        <v>174</v>
      </c>
      <c r="B118" s="11">
        <f>6*10*B98</f>
        <v>3000</v>
      </c>
      <c r="C118" s="98"/>
      <c r="D118" s="9"/>
      <c r="E118" s="8"/>
    </row>
    <row r="119" spans="1:5" ht="15" customHeight="1">
      <c r="A119" s="8" t="s">
        <v>250</v>
      </c>
      <c r="B119" s="11">
        <f>(1650/30)*0.6*B98</f>
        <v>1650</v>
      </c>
      <c r="C119" s="98"/>
      <c r="D119" s="9">
        <f>1650/30</f>
        <v>55</v>
      </c>
      <c r="E119" s="8"/>
    </row>
    <row r="120" spans="1:5" ht="15" customHeight="1">
      <c r="A120" s="8"/>
      <c r="B120" s="11"/>
      <c r="C120" s="98"/>
      <c r="D120" s="9"/>
      <c r="E120" s="8"/>
    </row>
    <row r="121" spans="1:5" ht="15" customHeight="1">
      <c r="A121" s="8" t="s">
        <v>53</v>
      </c>
      <c r="B121" s="11">
        <v>50</v>
      </c>
      <c r="C121" s="98"/>
      <c r="D121" s="8"/>
      <c r="E121" s="8"/>
    </row>
    <row r="122" spans="1:5" ht="15" customHeight="1">
      <c r="A122" s="8"/>
      <c r="B122" s="8"/>
      <c r="C122" s="8"/>
      <c r="D122" s="8"/>
      <c r="E122" s="8"/>
    </row>
    <row r="123" spans="1:5" ht="15" customHeight="1">
      <c r="A123" s="9"/>
      <c r="B123" s="13"/>
      <c r="C123" s="10"/>
      <c r="D123" s="8"/>
      <c r="E123" s="8"/>
    </row>
    <row r="124" spans="1:5" ht="26.25" customHeight="1">
      <c r="A124" s="8" t="s">
        <v>175</v>
      </c>
      <c r="B124" s="8">
        <v>0.03</v>
      </c>
      <c r="C124" s="8"/>
      <c r="D124" s="8"/>
      <c r="E124" s="8"/>
    </row>
    <row r="125" spans="1:5" ht="33.75" customHeight="1">
      <c r="A125" s="72" t="s">
        <v>195</v>
      </c>
      <c r="B125" s="71">
        <v>0.0083</v>
      </c>
      <c r="C125" s="8"/>
      <c r="D125" s="8"/>
      <c r="E125" s="8"/>
    </row>
    <row r="126" spans="1:5" ht="29.25" customHeight="1">
      <c r="A126" s="8" t="s">
        <v>176</v>
      </c>
      <c r="B126" s="8">
        <v>0.048</v>
      </c>
      <c r="C126" s="8"/>
      <c r="D126" s="8"/>
      <c r="E126" s="8"/>
    </row>
    <row r="127" spans="1:5" ht="30.75" customHeight="1">
      <c r="A127" s="8" t="s">
        <v>177</v>
      </c>
      <c r="B127" s="8">
        <v>0.0595</v>
      </c>
      <c r="C127" s="8"/>
      <c r="D127" s="8"/>
      <c r="E127" s="8"/>
    </row>
    <row r="128" ht="32.25" customHeight="1">
      <c r="A128" s="34"/>
    </row>
    <row r="129" spans="1:2" ht="15" customHeight="1">
      <c r="A129" s="199" t="s">
        <v>178</v>
      </c>
      <c r="B129" s="199"/>
    </row>
    <row r="130" spans="1:2" ht="15" customHeight="1">
      <c r="A130" s="8" t="s">
        <v>179</v>
      </c>
      <c r="B130" s="10">
        <v>40</v>
      </c>
    </row>
    <row r="131" spans="1:2" ht="15" customHeight="1">
      <c r="A131" s="8" t="s">
        <v>180</v>
      </c>
      <c r="B131" s="11">
        <v>15</v>
      </c>
    </row>
    <row r="132" spans="1:2" ht="15" customHeight="1">
      <c r="A132" s="8" t="s">
        <v>62</v>
      </c>
      <c r="B132" s="11">
        <v>550</v>
      </c>
    </row>
    <row r="133" spans="1:2" ht="28.5" customHeight="1">
      <c r="A133" s="8" t="s">
        <v>181</v>
      </c>
      <c r="B133" s="11">
        <v>16000</v>
      </c>
    </row>
    <row r="134" spans="1:2" ht="15" customHeight="1">
      <c r="A134" s="8" t="s">
        <v>61</v>
      </c>
      <c r="B134" s="42">
        <v>0.2</v>
      </c>
    </row>
    <row r="135" spans="1:3" ht="15" customHeight="1">
      <c r="A135" s="8" t="s">
        <v>182</v>
      </c>
      <c r="B135" s="8">
        <v>30</v>
      </c>
      <c r="C135" s="8"/>
    </row>
    <row r="136" spans="1:3" ht="15" customHeight="1">
      <c r="A136" s="8" t="s">
        <v>47</v>
      </c>
      <c r="B136" s="11">
        <v>3</v>
      </c>
      <c r="C136" s="8"/>
    </row>
    <row r="137" spans="1:3" ht="15" customHeight="1">
      <c r="A137" s="8" t="s">
        <v>168</v>
      </c>
      <c r="B137" s="8">
        <v>30</v>
      </c>
      <c r="C137" s="8"/>
    </row>
    <row r="138" spans="1:3" ht="15" customHeight="1">
      <c r="A138" s="8"/>
      <c r="B138" s="8"/>
      <c r="C138" s="8"/>
    </row>
    <row r="139" spans="1:4" ht="15" customHeight="1" thickBot="1">
      <c r="A139" s="183" t="s">
        <v>43</v>
      </c>
      <c r="B139" s="183"/>
      <c r="C139" s="8"/>
      <c r="D139" s="8"/>
    </row>
    <row r="140" spans="1:4" ht="26.25" customHeight="1" thickBot="1">
      <c r="A140" s="99" t="s">
        <v>183</v>
      </c>
      <c r="B140" s="100" t="s">
        <v>184</v>
      </c>
      <c r="C140" s="103" t="s">
        <v>185</v>
      </c>
      <c r="D140" s="105" t="s">
        <v>50</v>
      </c>
    </row>
    <row r="141" spans="1:4" ht="32.25" customHeight="1" thickBot="1">
      <c r="A141" s="101" t="s">
        <v>186</v>
      </c>
      <c r="B141" s="102">
        <v>880</v>
      </c>
      <c r="C141" s="104">
        <v>0.34</v>
      </c>
      <c r="D141" s="106">
        <f>B141*C141</f>
        <v>299.20000000000005</v>
      </c>
    </row>
    <row r="142" spans="1:4" ht="15" customHeight="1" thickBot="1">
      <c r="A142" s="101" t="s">
        <v>187</v>
      </c>
      <c r="B142" s="102">
        <v>1600</v>
      </c>
      <c r="C142" s="104">
        <v>0.2</v>
      </c>
      <c r="D142" s="106">
        <f>B142*C142</f>
        <v>320</v>
      </c>
    </row>
    <row r="143" spans="1:4" ht="15" customHeight="1" thickBot="1">
      <c r="A143" s="101" t="s">
        <v>188</v>
      </c>
      <c r="B143" s="102" t="s">
        <v>189</v>
      </c>
      <c r="C143" s="104" t="s">
        <v>190</v>
      </c>
      <c r="D143" s="106">
        <f>2*B130</f>
        <v>80</v>
      </c>
    </row>
    <row r="144" spans="1:4" ht="24.75" customHeight="1" thickBot="1">
      <c r="A144" s="101" t="s">
        <v>191</v>
      </c>
      <c r="B144" s="102">
        <v>1600</v>
      </c>
      <c r="C144" s="104">
        <v>0.18</v>
      </c>
      <c r="D144" s="106">
        <f>B144*C144</f>
        <v>288</v>
      </c>
    </row>
    <row r="145" spans="1:4" ht="15" customHeight="1" thickBot="1">
      <c r="A145" s="101" t="s">
        <v>70</v>
      </c>
      <c r="B145" s="102">
        <v>250</v>
      </c>
      <c r="C145" s="104">
        <v>0.8</v>
      </c>
      <c r="D145" s="106">
        <f>B145*C145</f>
        <v>200</v>
      </c>
    </row>
    <row r="146" spans="1:4" ht="15" customHeight="1" thickBot="1">
      <c r="A146" s="184" t="s">
        <v>0</v>
      </c>
      <c r="B146" s="184"/>
      <c r="C146" s="97"/>
      <c r="D146" s="107">
        <f>SUM(D141:D145)</f>
        <v>1187.2</v>
      </c>
    </row>
    <row r="147" spans="1:3" ht="15" customHeight="1">
      <c r="A147" s="8"/>
      <c r="B147" s="8"/>
      <c r="C147" s="8"/>
    </row>
    <row r="148" spans="1:3" ht="15" customHeight="1" thickBot="1">
      <c r="A148" s="183" t="s">
        <v>52</v>
      </c>
      <c r="B148" s="183"/>
      <c r="C148" s="8"/>
    </row>
    <row r="149" spans="1:3" ht="15" customHeight="1" thickBot="1">
      <c r="A149" s="108" t="s">
        <v>192</v>
      </c>
      <c r="B149" s="109">
        <v>100</v>
      </c>
      <c r="C149" s="8"/>
    </row>
    <row r="150" spans="1:3" ht="15" customHeight="1" thickBot="1">
      <c r="A150" s="101" t="s">
        <v>193</v>
      </c>
      <c r="B150" s="110">
        <v>480</v>
      </c>
      <c r="C150" s="8"/>
    </row>
    <row r="151" spans="1:3" ht="15" customHeight="1">
      <c r="A151" s="8"/>
      <c r="B151" s="11"/>
      <c r="C151" s="8"/>
    </row>
    <row r="152" spans="1:3" ht="15" customHeight="1">
      <c r="A152" s="8" t="s">
        <v>53</v>
      </c>
      <c r="B152" s="11">
        <v>45</v>
      </c>
      <c r="C152" s="8"/>
    </row>
    <row r="153" spans="1:3" ht="15" customHeight="1">
      <c r="A153" s="8"/>
      <c r="B153" s="8"/>
      <c r="C153" s="8"/>
    </row>
    <row r="154" spans="1:3" ht="15" customHeight="1">
      <c r="A154" s="8"/>
      <c r="B154" s="8"/>
      <c r="C154" s="8"/>
    </row>
    <row r="155" spans="1:3" ht="15" customHeight="1">
      <c r="A155" s="8" t="s">
        <v>194</v>
      </c>
      <c r="B155" s="8">
        <v>600</v>
      </c>
      <c r="C155" s="8"/>
    </row>
    <row r="156" spans="1:3" ht="15" customHeight="1">
      <c r="A156" s="8" t="s">
        <v>197</v>
      </c>
      <c r="B156" s="8">
        <f>6/12</f>
        <v>0.5</v>
      </c>
      <c r="C156" s="8"/>
    </row>
    <row r="157" spans="1:3" ht="30" customHeight="1">
      <c r="A157" s="8" t="s">
        <v>176</v>
      </c>
      <c r="B157" s="8">
        <v>0.048</v>
      </c>
      <c r="C157" s="8"/>
    </row>
    <row r="158" spans="1:3" ht="31.5" customHeight="1">
      <c r="A158" s="8" t="s">
        <v>177</v>
      </c>
      <c r="B158" s="8">
        <v>0.0595</v>
      </c>
      <c r="C158" s="8"/>
    </row>
    <row r="159" spans="1:3" ht="30.75" customHeight="1">
      <c r="A159" s="8" t="s">
        <v>175</v>
      </c>
      <c r="B159" s="8">
        <v>0.03</v>
      </c>
      <c r="C159" s="8"/>
    </row>
    <row r="160" spans="1:3" ht="26.25" customHeight="1">
      <c r="A160" s="72" t="s">
        <v>195</v>
      </c>
      <c r="B160" s="71">
        <v>0.0083</v>
      </c>
      <c r="C160" s="8"/>
    </row>
    <row r="161" spans="1:3" ht="32.25" customHeight="1">
      <c r="A161" s="72" t="s">
        <v>196</v>
      </c>
      <c r="B161" s="71">
        <v>0.03</v>
      </c>
      <c r="C161" s="8"/>
    </row>
    <row r="162" spans="1:3" ht="15" customHeight="1">
      <c r="A162" s="8"/>
      <c r="B162" s="8"/>
      <c r="C162" s="8"/>
    </row>
    <row r="163" spans="1:3" ht="15" customHeight="1">
      <c r="A163" s="8"/>
      <c r="B163" s="8"/>
      <c r="C163" s="8"/>
    </row>
    <row r="164" spans="1:3" ht="15" customHeight="1">
      <c r="A164" s="8"/>
      <c r="B164" s="8"/>
      <c r="C164" s="8"/>
    </row>
    <row r="165" spans="1:3" ht="15" customHeight="1">
      <c r="A165" s="8"/>
      <c r="B165" s="8"/>
      <c r="C165" s="8"/>
    </row>
    <row r="166" spans="1:3" ht="15" customHeight="1">
      <c r="A166" s="8"/>
      <c r="B166" s="8"/>
      <c r="C166" s="8"/>
    </row>
    <row r="167" spans="1:3" ht="15" customHeight="1">
      <c r="A167" s="8"/>
      <c r="B167" s="8"/>
      <c r="C167" s="8"/>
    </row>
    <row r="168" spans="1:3" ht="15" customHeight="1">
      <c r="A168" s="8"/>
      <c r="B168" s="8"/>
      <c r="C168" s="8"/>
    </row>
    <row r="169" spans="1:3" ht="15" customHeight="1">
      <c r="A169" s="8"/>
      <c r="B169" s="8"/>
      <c r="C169" s="8"/>
    </row>
    <row r="170" spans="1:3" ht="15" customHeight="1">
      <c r="A170" s="8"/>
      <c r="B170" s="8"/>
      <c r="C170" s="8"/>
    </row>
    <row r="171" spans="1:3" ht="15" customHeight="1">
      <c r="A171" s="8"/>
      <c r="B171" s="8"/>
      <c r="C171" s="8"/>
    </row>
    <row r="172" spans="1:3" ht="15" customHeight="1">
      <c r="A172" s="8"/>
      <c r="B172" s="8"/>
      <c r="C172" s="8"/>
    </row>
    <row r="173" spans="1:3" ht="15" customHeight="1">
      <c r="A173" s="8"/>
      <c r="B173" s="8"/>
      <c r="C173" s="8"/>
    </row>
    <row r="174" spans="1:3" ht="15" customHeight="1">
      <c r="A174" s="8"/>
      <c r="B174" s="8"/>
      <c r="C174" s="8"/>
    </row>
    <row r="175" spans="1:3" ht="15" customHeight="1">
      <c r="A175" s="8"/>
      <c r="B175" s="8"/>
      <c r="C175" s="8"/>
    </row>
    <row r="176" spans="1:3" ht="15" customHeight="1">
      <c r="A176" s="8"/>
      <c r="B176" s="8"/>
      <c r="C176" s="8"/>
    </row>
    <row r="177" spans="1:3" ht="15" customHeight="1">
      <c r="A177" s="8"/>
      <c r="B177" s="8"/>
      <c r="C177" s="8"/>
    </row>
    <row r="178" spans="1:3" ht="15" customHeight="1">
      <c r="A178" s="8"/>
      <c r="B178" s="8"/>
      <c r="C178" s="8"/>
    </row>
    <row r="179" spans="1:3" ht="15" customHeight="1">
      <c r="A179" s="8"/>
      <c r="B179" s="8"/>
      <c r="C179" s="8"/>
    </row>
    <row r="180" spans="1:3" ht="15" customHeight="1">
      <c r="A180" s="8"/>
      <c r="B180" s="8"/>
      <c r="C180" s="8"/>
    </row>
    <row r="181" spans="1:3" ht="15" customHeight="1">
      <c r="A181" s="8"/>
      <c r="B181" s="8"/>
      <c r="C181" s="8"/>
    </row>
    <row r="182" spans="1:3" ht="15" customHeight="1">
      <c r="A182" s="8"/>
      <c r="B182" s="8"/>
      <c r="C182" s="8"/>
    </row>
    <row r="183" spans="1:3" ht="15" customHeight="1">
      <c r="A183" s="8"/>
      <c r="B183" s="8"/>
      <c r="C183" s="8"/>
    </row>
    <row r="184" spans="1:3" ht="15" customHeight="1">
      <c r="A184" s="8"/>
      <c r="B184" s="8"/>
      <c r="C184" s="8"/>
    </row>
    <row r="185" spans="1:3" ht="15" customHeight="1">
      <c r="A185" s="8"/>
      <c r="B185" s="8"/>
      <c r="C185" s="8"/>
    </row>
    <row r="186" spans="1:3" ht="15" customHeight="1">
      <c r="A186" s="8"/>
      <c r="B186" s="8"/>
      <c r="C186" s="8"/>
    </row>
  </sheetData>
  <sheetProtection/>
  <mergeCells count="17">
    <mergeCell ref="A146:B146"/>
    <mergeCell ref="A148:B148"/>
    <mergeCell ref="A2:D2"/>
    <mergeCell ref="A38:D38"/>
    <mergeCell ref="A51:B51"/>
    <mergeCell ref="A71:D71"/>
    <mergeCell ref="A44:C44"/>
    <mergeCell ref="A72:D72"/>
    <mergeCell ref="A80:C80"/>
    <mergeCell ref="A129:B129"/>
    <mergeCell ref="A139:B139"/>
    <mergeCell ref="A114:B114"/>
    <mergeCell ref="A82:B82"/>
    <mergeCell ref="A117:B117"/>
    <mergeCell ref="A108:B108"/>
    <mergeCell ref="A96:B96"/>
    <mergeCell ref="A97:B97"/>
  </mergeCells>
  <printOptions headings="1"/>
  <pageMargins left="0.35433070866141736" right="0.4330708661417323" top="0.984251968503937" bottom="0.984251968503937" header="0.5118110236220472" footer="0.5118110236220472"/>
  <pageSetup fitToWidth="2" horizontalDpi="300" verticalDpi="300" orientation="portrait" paperSize="9" scale="80" r:id="rId1"/>
  <headerFooter alignWithMargins="0">
    <oddHeader>&amp;L&amp;"Arial Greek,Bold Italic\&amp;U&amp;F&amp;R&amp;"Arial Greek,Bold Italic\&amp;A</oddHeader>
    <oddFooter>&amp;C&amp;"Arial Greek,Bold\Σελίδα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28">
      <selection activeCell="C17" sqref="C17"/>
    </sheetView>
  </sheetViews>
  <sheetFormatPr defaultColWidth="9.00390625" defaultRowHeight="15" customHeight="1"/>
  <cols>
    <col min="1" max="1" width="21.125" style="17" customWidth="1"/>
    <col min="2" max="2" width="21.25390625" style="17" customWidth="1"/>
    <col min="3" max="3" width="17.625" style="17" customWidth="1"/>
    <col min="4" max="4" width="21.375" style="17" customWidth="1"/>
    <col min="5" max="6" width="12.75390625" style="17" customWidth="1"/>
    <col min="7" max="7" width="13.375" style="17" customWidth="1"/>
    <col min="8" max="8" width="12.75390625" style="17" customWidth="1"/>
    <col min="9" max="9" width="16.625" style="17" customWidth="1"/>
    <col min="10" max="10" width="19.25390625" style="17" customWidth="1"/>
    <col min="11" max="11" width="8.75390625" style="17" customWidth="1"/>
    <col min="12" max="12" width="14.75390625" style="17" customWidth="1"/>
    <col min="13" max="13" width="12.375" style="17" customWidth="1"/>
    <col min="14" max="14" width="13.875" style="17" customWidth="1"/>
    <col min="15" max="15" width="11.375" style="17" customWidth="1"/>
    <col min="16" max="16" width="12.00390625" style="17" customWidth="1"/>
    <col min="17" max="16384" width="9.125" style="17" customWidth="1"/>
  </cols>
  <sheetData>
    <row r="1" spans="1:9" ht="15" customHeight="1">
      <c r="A1" s="200" t="s">
        <v>201</v>
      </c>
      <c r="B1" s="200"/>
      <c r="C1" s="200"/>
      <c r="D1" s="200"/>
      <c r="E1" s="200"/>
      <c r="F1" s="200"/>
      <c r="G1" s="200"/>
      <c r="H1" s="200"/>
      <c r="I1" s="200"/>
    </row>
    <row r="2" spans="1:9" ht="15" customHeight="1">
      <c r="A2" s="202" t="s">
        <v>17</v>
      </c>
      <c r="B2" s="202"/>
      <c r="C2" s="202"/>
      <c r="D2" s="202"/>
      <c r="E2" s="202"/>
      <c r="F2" s="202"/>
      <c r="G2" s="202"/>
      <c r="H2" s="202"/>
      <c r="I2" s="202"/>
    </row>
    <row r="3" spans="1:9" ht="15" customHeight="1" thickBot="1">
      <c r="A3" s="128"/>
      <c r="B3" s="128"/>
      <c r="C3" s="128"/>
      <c r="D3" s="128"/>
      <c r="E3" s="202" t="s">
        <v>18</v>
      </c>
      <c r="F3" s="202"/>
      <c r="G3" s="128"/>
      <c r="H3" s="202" t="s">
        <v>54</v>
      </c>
      <c r="I3" s="202"/>
    </row>
    <row r="4" spans="1:16" ht="59.25" customHeight="1" thickBot="1">
      <c r="A4" s="111" t="s">
        <v>150</v>
      </c>
      <c r="B4" s="76" t="s">
        <v>105</v>
      </c>
      <c r="C4" s="76" t="s">
        <v>151</v>
      </c>
      <c r="D4" s="76" t="s">
        <v>152</v>
      </c>
      <c r="E4" s="76" t="s">
        <v>153</v>
      </c>
      <c r="F4" s="149" t="s">
        <v>19</v>
      </c>
      <c r="G4" s="149" t="s">
        <v>56</v>
      </c>
      <c r="H4" s="149" t="s">
        <v>20</v>
      </c>
      <c r="I4" s="149" t="s">
        <v>21</v>
      </c>
      <c r="J4" s="159" t="s">
        <v>198</v>
      </c>
      <c r="K4" s="148" t="s">
        <v>75</v>
      </c>
      <c r="L4" s="148" t="s">
        <v>232</v>
      </c>
      <c r="M4" s="2"/>
      <c r="N4" s="2"/>
      <c r="O4" s="2"/>
      <c r="P4" s="2"/>
    </row>
    <row r="5" spans="1:16" ht="15" customHeight="1" thickBot="1">
      <c r="A5" s="77" t="s">
        <v>106</v>
      </c>
      <c r="B5" s="78">
        <v>110000</v>
      </c>
      <c r="C5" s="79">
        <v>0</v>
      </c>
      <c r="D5" s="79">
        <v>25</v>
      </c>
      <c r="E5" s="79">
        <v>10</v>
      </c>
      <c r="F5" s="133">
        <f aca="true" t="shared" si="0" ref="F5:F10">D5-E5</f>
        <v>15</v>
      </c>
      <c r="G5" s="134">
        <f aca="true" t="shared" si="1" ref="G5:G10">(B5-C5)/D5</f>
        <v>4400</v>
      </c>
      <c r="H5" s="135">
        <f aca="true" t="shared" si="2" ref="H5:H10">(B5-(G5*E5))</f>
        <v>66000</v>
      </c>
      <c r="I5" s="135">
        <f aca="true" t="shared" si="3" ref="I5:I10">H5-G5</f>
        <v>61600</v>
      </c>
      <c r="J5" s="160">
        <f aca="true" t="shared" si="4" ref="J5:J10">(H5+I5)/2</f>
        <v>63800</v>
      </c>
      <c r="K5" s="163">
        <f>J5*Δεδομένα!$B$62</f>
        <v>638</v>
      </c>
      <c r="L5" s="163">
        <f>J5*Δεδομένα!$B$64</f>
        <v>529.54</v>
      </c>
      <c r="M5" s="43"/>
      <c r="N5" s="44"/>
      <c r="O5" s="43"/>
      <c r="P5" s="44"/>
    </row>
    <row r="6" spans="1:16" ht="15" customHeight="1" thickBot="1">
      <c r="A6" s="77" t="s">
        <v>107</v>
      </c>
      <c r="B6" s="78">
        <v>15000</v>
      </c>
      <c r="C6" s="79">
        <v>0</v>
      </c>
      <c r="D6" s="79">
        <v>25</v>
      </c>
      <c r="E6" s="79">
        <v>10</v>
      </c>
      <c r="F6" s="133">
        <f t="shared" si="0"/>
        <v>15</v>
      </c>
      <c r="G6" s="134">
        <f t="shared" si="1"/>
        <v>600</v>
      </c>
      <c r="H6" s="135">
        <f t="shared" si="2"/>
        <v>9000</v>
      </c>
      <c r="I6" s="135">
        <f t="shared" si="3"/>
        <v>8400</v>
      </c>
      <c r="J6" s="160">
        <f t="shared" si="4"/>
        <v>8700</v>
      </c>
      <c r="K6" s="163">
        <f>J6*Δεδομένα!$B$62</f>
        <v>87</v>
      </c>
      <c r="L6" s="163">
        <f>J6*Δεδομένα!$B$64</f>
        <v>72.21</v>
      </c>
      <c r="M6" s="43"/>
      <c r="N6" s="44"/>
      <c r="O6" s="43"/>
      <c r="P6" s="44"/>
    </row>
    <row r="7" spans="1:16" ht="15" customHeight="1" thickBot="1">
      <c r="A7" s="77" t="s">
        <v>108</v>
      </c>
      <c r="B7" s="78">
        <v>10780</v>
      </c>
      <c r="C7" s="79">
        <v>0</v>
      </c>
      <c r="D7" s="79">
        <v>25</v>
      </c>
      <c r="E7" s="79">
        <v>10</v>
      </c>
      <c r="F7" s="133">
        <f t="shared" si="0"/>
        <v>15</v>
      </c>
      <c r="G7" s="134">
        <f t="shared" si="1"/>
        <v>431.2</v>
      </c>
      <c r="H7" s="135">
        <f t="shared" si="2"/>
        <v>6468</v>
      </c>
      <c r="I7" s="135">
        <f t="shared" si="3"/>
        <v>6036.8</v>
      </c>
      <c r="J7" s="160">
        <f t="shared" si="4"/>
        <v>6252.4</v>
      </c>
      <c r="K7" s="163">
        <f>J7*Δεδομένα!$B$62</f>
        <v>62.524</v>
      </c>
      <c r="L7" s="163">
        <f>J7*Δεδομένα!$B$64</f>
        <v>51.89492</v>
      </c>
      <c r="M7" s="43"/>
      <c r="N7" s="44"/>
      <c r="O7" s="43"/>
      <c r="P7" s="44"/>
    </row>
    <row r="8" spans="1:16" ht="15" customHeight="1" thickBot="1">
      <c r="A8" s="80" t="s">
        <v>109</v>
      </c>
      <c r="B8" s="81">
        <v>4500</v>
      </c>
      <c r="C8" s="79">
        <v>0</v>
      </c>
      <c r="D8" s="79">
        <v>25</v>
      </c>
      <c r="E8" s="79">
        <v>10</v>
      </c>
      <c r="F8" s="133">
        <f t="shared" si="0"/>
        <v>15</v>
      </c>
      <c r="G8" s="134">
        <f t="shared" si="1"/>
        <v>180</v>
      </c>
      <c r="H8" s="135">
        <f t="shared" si="2"/>
        <v>2700</v>
      </c>
      <c r="I8" s="135">
        <f t="shared" si="3"/>
        <v>2520</v>
      </c>
      <c r="J8" s="160">
        <f t="shared" si="4"/>
        <v>2610</v>
      </c>
      <c r="K8" s="163">
        <f>J8*Δεδομένα!$B$62</f>
        <v>26.1</v>
      </c>
      <c r="L8" s="163">
        <f>J8*Δεδομένα!$B$64</f>
        <v>21.663</v>
      </c>
      <c r="M8" s="43"/>
      <c r="N8" s="44"/>
      <c r="O8" s="43"/>
      <c r="P8" s="44"/>
    </row>
    <row r="9" spans="1:16" ht="26.25" customHeight="1" thickBot="1">
      <c r="A9" s="77" t="s">
        <v>110</v>
      </c>
      <c r="B9" s="78">
        <v>5600</v>
      </c>
      <c r="C9" s="79">
        <v>0</v>
      </c>
      <c r="D9" s="79">
        <v>10</v>
      </c>
      <c r="E9" s="79">
        <v>4</v>
      </c>
      <c r="F9" s="133">
        <f t="shared" si="0"/>
        <v>6</v>
      </c>
      <c r="G9" s="134">
        <f t="shared" si="1"/>
        <v>560</v>
      </c>
      <c r="H9" s="135">
        <f t="shared" si="2"/>
        <v>3360</v>
      </c>
      <c r="I9" s="135">
        <f t="shared" si="3"/>
        <v>2800</v>
      </c>
      <c r="J9" s="160">
        <f t="shared" si="4"/>
        <v>3080</v>
      </c>
      <c r="K9" s="163">
        <f>J9*Δεδομένα!$B$63</f>
        <v>92.39999999999999</v>
      </c>
      <c r="L9" s="163">
        <f>J9*Δεδομένα!$B$64</f>
        <v>25.564</v>
      </c>
      <c r="M9" s="43"/>
      <c r="N9" s="44"/>
      <c r="O9" s="43"/>
      <c r="P9" s="44"/>
    </row>
    <row r="10" spans="1:16" ht="30" customHeight="1" thickBot="1">
      <c r="A10" s="77" t="s">
        <v>111</v>
      </c>
      <c r="B10" s="78">
        <v>30000</v>
      </c>
      <c r="C10" s="79">
        <v>0</v>
      </c>
      <c r="D10" s="79">
        <v>12</v>
      </c>
      <c r="E10" s="79">
        <v>4</v>
      </c>
      <c r="F10" s="133">
        <f t="shared" si="0"/>
        <v>8</v>
      </c>
      <c r="G10" s="141">
        <f t="shared" si="1"/>
        <v>2500</v>
      </c>
      <c r="H10" s="142">
        <f t="shared" si="2"/>
        <v>20000</v>
      </c>
      <c r="I10" s="142">
        <f t="shared" si="3"/>
        <v>17500</v>
      </c>
      <c r="J10" s="161">
        <f t="shared" si="4"/>
        <v>18750</v>
      </c>
      <c r="K10" s="163">
        <f>J10*Δεδομένα!$B$63</f>
        <v>562.5</v>
      </c>
      <c r="L10" s="163">
        <f>J10*Δεδομένα!$B$64</f>
        <v>155.625</v>
      </c>
      <c r="M10" s="43"/>
      <c r="N10" s="44"/>
      <c r="O10" s="43"/>
      <c r="P10" s="44"/>
    </row>
    <row r="11" spans="1:12" ht="15" customHeight="1" thickBot="1">
      <c r="A11" s="203" t="s">
        <v>0</v>
      </c>
      <c r="B11" s="203"/>
      <c r="C11" s="15"/>
      <c r="D11" s="19"/>
      <c r="F11" s="20"/>
      <c r="G11" s="143">
        <f aca="true" t="shared" si="5" ref="G11:L11">SUM(G5:G10)</f>
        <v>8671.2</v>
      </c>
      <c r="H11" s="143">
        <f t="shared" si="5"/>
        <v>107528</v>
      </c>
      <c r="I11" s="143">
        <f t="shared" si="5"/>
        <v>98856.8</v>
      </c>
      <c r="J11" s="162">
        <f t="shared" si="5"/>
        <v>103192.4</v>
      </c>
      <c r="K11" s="143">
        <f t="shared" si="5"/>
        <v>1468.524</v>
      </c>
      <c r="L11" s="143">
        <f t="shared" si="5"/>
        <v>856.4969199999999</v>
      </c>
    </row>
    <row r="12" spans="1:10" ht="15" customHeight="1">
      <c r="A12" s="1"/>
      <c r="B12" s="1"/>
      <c r="C12" s="15"/>
      <c r="D12" s="19"/>
      <c r="F12" s="16"/>
      <c r="G12" s="128"/>
      <c r="H12" s="137"/>
      <c r="I12" s="137"/>
      <c r="J12" s="139"/>
    </row>
    <row r="13" spans="7:10" ht="15" customHeight="1">
      <c r="G13" s="128"/>
      <c r="H13" s="128"/>
      <c r="I13" s="138" t="s">
        <v>199</v>
      </c>
      <c r="J13" s="140">
        <f>J5+J6+J7</f>
        <v>78752.4</v>
      </c>
    </row>
    <row r="14" spans="7:10" ht="15" customHeight="1">
      <c r="G14" s="128"/>
      <c r="H14" s="128"/>
      <c r="I14" s="138" t="s">
        <v>200</v>
      </c>
      <c r="J14" s="140">
        <f>J9+J10</f>
        <v>21830</v>
      </c>
    </row>
    <row r="15" spans="1:10" ht="15" customHeight="1" thickBot="1">
      <c r="A15" s="14" t="s">
        <v>202</v>
      </c>
      <c r="I15" s="112"/>
      <c r="J15" s="113"/>
    </row>
    <row r="16" spans="1:10" ht="58.5" customHeight="1" thickBot="1">
      <c r="A16" s="65" t="s">
        <v>203</v>
      </c>
      <c r="B16" s="66" t="s">
        <v>137</v>
      </c>
      <c r="C16" s="66" t="s">
        <v>138</v>
      </c>
      <c r="D16" s="114" t="s">
        <v>204</v>
      </c>
      <c r="I16" s="112"/>
      <c r="J16" s="113"/>
    </row>
    <row r="17" spans="1:10" ht="38.25" customHeight="1" thickBot="1">
      <c r="A17" s="67" t="s">
        <v>205</v>
      </c>
      <c r="B17" s="68">
        <v>10</v>
      </c>
      <c r="C17" s="68">
        <v>1850</v>
      </c>
      <c r="D17" s="115">
        <f>B17*C17</f>
        <v>18500</v>
      </c>
      <c r="I17" s="112"/>
      <c r="J17" s="113"/>
    </row>
    <row r="18" spans="1:10" ht="15" customHeight="1" thickBot="1">
      <c r="A18" s="67" t="s">
        <v>206</v>
      </c>
      <c r="B18" s="68">
        <v>10</v>
      </c>
      <c r="C18" s="68">
        <v>1550</v>
      </c>
      <c r="D18" s="115">
        <f aca="true" t="shared" si="6" ref="D18:D24">B18*C18</f>
        <v>15500</v>
      </c>
      <c r="I18" s="112"/>
      <c r="J18" s="113"/>
    </row>
    <row r="19" spans="1:10" ht="15" customHeight="1" thickBot="1">
      <c r="A19" s="67" t="s">
        <v>207</v>
      </c>
      <c r="B19" s="68">
        <v>10</v>
      </c>
      <c r="C19" s="68">
        <v>1250</v>
      </c>
      <c r="D19" s="115">
        <f t="shared" si="6"/>
        <v>12500</v>
      </c>
      <c r="I19" s="112"/>
      <c r="J19" s="113"/>
    </row>
    <row r="20" spans="1:10" ht="15" customHeight="1" thickBot="1">
      <c r="A20" s="67" t="s">
        <v>208</v>
      </c>
      <c r="B20" s="68">
        <v>10</v>
      </c>
      <c r="C20" s="68">
        <v>950</v>
      </c>
      <c r="D20" s="115">
        <f t="shared" si="6"/>
        <v>9500</v>
      </c>
      <c r="I20" s="112"/>
      <c r="J20" s="113"/>
    </row>
    <row r="21" spans="1:10" ht="15" customHeight="1" thickBot="1">
      <c r="A21" s="67" t="s">
        <v>209</v>
      </c>
      <c r="B21" s="68">
        <v>10</v>
      </c>
      <c r="C21" s="68">
        <v>650</v>
      </c>
      <c r="D21" s="115">
        <f t="shared" si="6"/>
        <v>6500</v>
      </c>
      <c r="I21" s="112"/>
      <c r="J21" s="113"/>
    </row>
    <row r="22" spans="1:10" ht="42.75" customHeight="1" thickBot="1">
      <c r="A22" s="67" t="s">
        <v>210</v>
      </c>
      <c r="B22" s="68">
        <v>10</v>
      </c>
      <c r="C22" s="70">
        <v>600</v>
      </c>
      <c r="D22" s="115">
        <f t="shared" si="6"/>
        <v>6000</v>
      </c>
      <c r="I22" s="112"/>
      <c r="J22" s="113"/>
    </row>
    <row r="23" spans="1:10" ht="48.75" customHeight="1" thickBot="1">
      <c r="A23" s="67" t="s">
        <v>211</v>
      </c>
      <c r="B23" s="68">
        <v>10</v>
      </c>
      <c r="C23" s="70">
        <v>1300</v>
      </c>
      <c r="D23" s="115">
        <f t="shared" si="6"/>
        <v>13000</v>
      </c>
      <c r="I23" s="112"/>
      <c r="J23" s="113"/>
    </row>
    <row r="24" spans="1:10" ht="46.5" customHeight="1" thickBot="1">
      <c r="A24" s="67" t="s">
        <v>210</v>
      </c>
      <c r="B24" s="68">
        <v>10</v>
      </c>
      <c r="C24" s="70">
        <v>1900</v>
      </c>
      <c r="D24" s="115">
        <f t="shared" si="6"/>
        <v>19000</v>
      </c>
      <c r="I24" s="112"/>
      <c r="J24" s="113"/>
    </row>
    <row r="25" spans="1:10" ht="15" customHeight="1" thickBot="1">
      <c r="A25" s="201" t="s">
        <v>212</v>
      </c>
      <c r="B25" s="201"/>
      <c r="C25" s="201"/>
      <c r="D25" s="119">
        <f>SUM(D17:D24)</f>
        <v>100500</v>
      </c>
      <c r="I25" s="112"/>
      <c r="J25" s="113"/>
    </row>
    <row r="26" spans="1:10" ht="15" customHeight="1">
      <c r="A26" s="116"/>
      <c r="B26" s="117"/>
      <c r="C26" s="117"/>
      <c r="D26" s="118"/>
      <c r="I26" s="112"/>
      <c r="J26" s="113"/>
    </row>
    <row r="27" spans="1:10" ht="15" customHeight="1">
      <c r="A27" s="116"/>
      <c r="B27" s="117"/>
      <c r="C27" s="117"/>
      <c r="D27" s="118"/>
      <c r="I27" s="112"/>
      <c r="J27" s="113"/>
    </row>
    <row r="28" spans="1:10" ht="15" customHeight="1">
      <c r="A28" s="116"/>
      <c r="B28" s="117"/>
      <c r="C28" s="117"/>
      <c r="D28" s="118"/>
      <c r="I28" s="112"/>
      <c r="J28" s="113"/>
    </row>
    <row r="29" spans="1:10" ht="39.75" customHeight="1">
      <c r="A29" s="122" t="s">
        <v>213</v>
      </c>
      <c r="B29" s="123">
        <f>J11+D25</f>
        <v>203692.4</v>
      </c>
      <c r="C29" s="117"/>
      <c r="D29" s="118"/>
      <c r="I29" s="112"/>
      <c r="J29" s="113"/>
    </row>
    <row r="30" spans="1:10" ht="15" customHeight="1">
      <c r="A30" s="116"/>
      <c r="B30" s="121"/>
      <c r="C30" s="117"/>
      <c r="D30" s="118"/>
      <c r="I30" s="112"/>
      <c r="J30" s="113"/>
    </row>
    <row r="31" spans="1:10" ht="15" customHeight="1">
      <c r="A31" s="132" t="s">
        <v>214</v>
      </c>
      <c r="B31" s="127">
        <f>Δεδομένα!B66*Δεδομένα!B68</f>
        <v>3300</v>
      </c>
      <c r="C31" s="128"/>
      <c r="I31" s="112"/>
      <c r="J31" s="113"/>
    </row>
    <row r="32" spans="1:10" ht="15" customHeight="1">
      <c r="A32" s="129"/>
      <c r="B32" s="130"/>
      <c r="C32" s="128"/>
      <c r="I32" s="112"/>
      <c r="J32" s="113"/>
    </row>
    <row r="33" spans="1:10" ht="45.75" customHeight="1">
      <c r="A33" s="129" t="s">
        <v>215</v>
      </c>
      <c r="B33" s="131">
        <f>B29+B31</f>
        <v>206992.4</v>
      </c>
      <c r="C33" s="128"/>
      <c r="I33" s="112"/>
      <c r="J33" s="113"/>
    </row>
    <row r="34" spans="9:10" s="124" customFormat="1" ht="15" customHeight="1">
      <c r="I34" s="125"/>
      <c r="J34" s="126"/>
    </row>
    <row r="37" spans="1:9" ht="38.25" customHeight="1" thickBot="1">
      <c r="A37" s="185" t="s">
        <v>218</v>
      </c>
      <c r="B37" s="185"/>
      <c r="C37" s="3"/>
      <c r="D37" s="9"/>
      <c r="E37" s="202" t="s">
        <v>18</v>
      </c>
      <c r="F37" s="202"/>
      <c r="G37" s="128"/>
      <c r="H37" s="202" t="s">
        <v>54</v>
      </c>
      <c r="I37" s="202"/>
    </row>
    <row r="38" spans="1:10" ht="48" customHeight="1" thickBot="1">
      <c r="A38" s="41" t="s">
        <v>63</v>
      </c>
      <c r="B38" s="37" t="s">
        <v>48</v>
      </c>
      <c r="C38" s="37" t="s">
        <v>49</v>
      </c>
      <c r="D38" s="37" t="s">
        <v>55</v>
      </c>
      <c r="E38" s="144" t="s">
        <v>91</v>
      </c>
      <c r="F38" s="148" t="s">
        <v>19</v>
      </c>
      <c r="G38" s="148" t="s">
        <v>56</v>
      </c>
      <c r="H38" s="148" t="s">
        <v>20</v>
      </c>
      <c r="I38" s="148" t="s">
        <v>21</v>
      </c>
      <c r="J38" s="148" t="s">
        <v>217</v>
      </c>
    </row>
    <row r="39" spans="1:10" ht="15" customHeight="1" thickBot="1">
      <c r="A39" s="38" t="s">
        <v>64</v>
      </c>
      <c r="B39" s="39">
        <v>28000</v>
      </c>
      <c r="C39" s="39">
        <v>0</v>
      </c>
      <c r="D39" s="39">
        <v>15</v>
      </c>
      <c r="E39" s="40">
        <v>8</v>
      </c>
      <c r="F39" s="145">
        <f aca="true" t="shared" si="7" ref="F39:F46">D39-E39</f>
        <v>7</v>
      </c>
      <c r="G39" s="146">
        <f aca="true" t="shared" si="8" ref="G39:G46">(B39-C39)/D39</f>
        <v>1866.6666666666667</v>
      </c>
      <c r="H39" s="147">
        <f aca="true" t="shared" si="9" ref="H39:H46">(B39-(G39*E39))</f>
        <v>13066.666666666666</v>
      </c>
      <c r="I39" s="147">
        <f aca="true" t="shared" si="10" ref="I39:I46">H39-G39</f>
        <v>11200</v>
      </c>
      <c r="J39" s="147">
        <f aca="true" t="shared" si="11" ref="J39:J46">(H39+I39)/2</f>
        <v>12133.333333333332</v>
      </c>
    </row>
    <row r="40" spans="1:10" ht="15" customHeight="1" thickBot="1">
      <c r="A40" s="38" t="s">
        <v>44</v>
      </c>
      <c r="B40" s="39">
        <v>2000</v>
      </c>
      <c r="C40" s="39">
        <v>0</v>
      </c>
      <c r="D40" s="39">
        <v>15</v>
      </c>
      <c r="E40" s="40">
        <v>12</v>
      </c>
      <c r="F40" s="133">
        <f t="shared" si="7"/>
        <v>3</v>
      </c>
      <c r="G40" s="134">
        <f t="shared" si="8"/>
        <v>133.33333333333334</v>
      </c>
      <c r="H40" s="135">
        <f t="shared" si="9"/>
        <v>400</v>
      </c>
      <c r="I40" s="135">
        <f t="shared" si="10"/>
        <v>266.66666666666663</v>
      </c>
      <c r="J40" s="135">
        <f t="shared" si="11"/>
        <v>333.3333333333333</v>
      </c>
    </row>
    <row r="41" spans="1:10" ht="15" customHeight="1" thickBot="1">
      <c r="A41" s="38" t="s">
        <v>94</v>
      </c>
      <c r="B41" s="39">
        <v>2500</v>
      </c>
      <c r="C41" s="39">
        <v>0</v>
      </c>
      <c r="D41" s="39">
        <v>15</v>
      </c>
      <c r="E41" s="40">
        <v>12</v>
      </c>
      <c r="F41" s="133">
        <f t="shared" si="7"/>
        <v>3</v>
      </c>
      <c r="G41" s="134">
        <f t="shared" si="8"/>
        <v>166.66666666666666</v>
      </c>
      <c r="H41" s="135">
        <f t="shared" si="9"/>
        <v>500</v>
      </c>
      <c r="I41" s="135">
        <f t="shared" si="10"/>
        <v>333.33333333333337</v>
      </c>
      <c r="J41" s="135">
        <f t="shared" si="11"/>
        <v>416.6666666666667</v>
      </c>
    </row>
    <row r="42" spans="1:10" ht="15" customHeight="1" thickBot="1">
      <c r="A42" s="38" t="s">
        <v>65</v>
      </c>
      <c r="B42" s="39">
        <v>1000</v>
      </c>
      <c r="C42" s="39">
        <v>0</v>
      </c>
      <c r="D42" s="39">
        <v>15</v>
      </c>
      <c r="E42" s="40">
        <v>10</v>
      </c>
      <c r="F42" s="133">
        <f t="shared" si="7"/>
        <v>5</v>
      </c>
      <c r="G42" s="134">
        <f t="shared" si="8"/>
        <v>66.66666666666667</v>
      </c>
      <c r="H42" s="135">
        <f t="shared" si="9"/>
        <v>333.33333333333326</v>
      </c>
      <c r="I42" s="135">
        <f t="shared" si="10"/>
        <v>266.6666666666666</v>
      </c>
      <c r="J42" s="135">
        <f t="shared" si="11"/>
        <v>299.9999999999999</v>
      </c>
    </row>
    <row r="43" spans="1:10" ht="15" customHeight="1" thickBot="1">
      <c r="A43" s="38" t="s">
        <v>95</v>
      </c>
      <c r="B43" s="39">
        <v>1100</v>
      </c>
      <c r="C43" s="39">
        <v>0</v>
      </c>
      <c r="D43" s="39">
        <v>15</v>
      </c>
      <c r="E43" s="40">
        <v>9</v>
      </c>
      <c r="F43" s="133">
        <f t="shared" si="7"/>
        <v>6</v>
      </c>
      <c r="G43" s="134">
        <f t="shared" si="8"/>
        <v>73.33333333333333</v>
      </c>
      <c r="H43" s="135">
        <f t="shared" si="9"/>
        <v>440</v>
      </c>
      <c r="I43" s="135">
        <f t="shared" si="10"/>
        <v>366.6666666666667</v>
      </c>
      <c r="J43" s="135">
        <f t="shared" si="11"/>
        <v>403.33333333333337</v>
      </c>
    </row>
    <row r="44" spans="1:10" ht="15" customHeight="1" thickBot="1">
      <c r="A44" s="38" t="s">
        <v>66</v>
      </c>
      <c r="B44" s="39">
        <v>1200</v>
      </c>
      <c r="C44" s="39">
        <v>0</v>
      </c>
      <c r="D44" s="39">
        <v>15</v>
      </c>
      <c r="E44" s="40">
        <v>7</v>
      </c>
      <c r="F44" s="133">
        <f t="shared" si="7"/>
        <v>8</v>
      </c>
      <c r="G44" s="134">
        <f t="shared" si="8"/>
        <v>80</v>
      </c>
      <c r="H44" s="135">
        <f t="shared" si="9"/>
        <v>640</v>
      </c>
      <c r="I44" s="135">
        <f t="shared" si="10"/>
        <v>560</v>
      </c>
      <c r="J44" s="135">
        <f t="shared" si="11"/>
        <v>600</v>
      </c>
    </row>
    <row r="45" spans="1:10" ht="37.5" customHeight="1" thickBot="1">
      <c r="A45" s="38" t="s">
        <v>67</v>
      </c>
      <c r="B45" s="39">
        <v>1500</v>
      </c>
      <c r="C45" s="39">
        <v>0</v>
      </c>
      <c r="D45" s="39">
        <v>15</v>
      </c>
      <c r="E45" s="40">
        <v>7</v>
      </c>
      <c r="F45" s="133">
        <f t="shared" si="7"/>
        <v>8</v>
      </c>
      <c r="G45" s="134">
        <f t="shared" si="8"/>
        <v>100</v>
      </c>
      <c r="H45" s="135">
        <f t="shared" si="9"/>
        <v>800</v>
      </c>
      <c r="I45" s="135">
        <f t="shared" si="10"/>
        <v>700</v>
      </c>
      <c r="J45" s="135">
        <f t="shared" si="11"/>
        <v>750</v>
      </c>
    </row>
    <row r="46" spans="1:10" ht="15" customHeight="1" thickBot="1">
      <c r="A46" s="38" t="s">
        <v>68</v>
      </c>
      <c r="B46" s="39">
        <v>5000</v>
      </c>
      <c r="C46" s="39">
        <v>0</v>
      </c>
      <c r="D46" s="39">
        <v>4</v>
      </c>
      <c r="E46" s="39">
        <v>1</v>
      </c>
      <c r="F46" s="133">
        <f t="shared" si="7"/>
        <v>3</v>
      </c>
      <c r="G46" s="134">
        <f t="shared" si="8"/>
        <v>1250</v>
      </c>
      <c r="H46" s="135">
        <f t="shared" si="9"/>
        <v>3750</v>
      </c>
      <c r="I46" s="135">
        <f t="shared" si="10"/>
        <v>2500</v>
      </c>
      <c r="J46" s="135">
        <f t="shared" si="11"/>
        <v>3125</v>
      </c>
    </row>
    <row r="47" spans="1:10" ht="15" customHeight="1" thickBot="1">
      <c r="A47" s="204" t="s">
        <v>0</v>
      </c>
      <c r="B47" s="204"/>
      <c r="C47" s="204"/>
      <c r="D47" s="204"/>
      <c r="E47" s="204"/>
      <c r="F47" s="204"/>
      <c r="G47" s="154">
        <f>SUM(G39:G46)</f>
        <v>3736.6666666666665</v>
      </c>
      <c r="H47" s="153"/>
      <c r="I47" s="153"/>
      <c r="J47" s="154">
        <f>SUM(J39:J46)</f>
        <v>18061.666666666664</v>
      </c>
    </row>
    <row r="49" spans="1:3" ht="15" customHeight="1" thickBot="1">
      <c r="A49" s="202" t="s">
        <v>216</v>
      </c>
      <c r="B49" s="202"/>
      <c r="C49" s="202"/>
    </row>
    <row r="50" spans="1:3" ht="15" customHeight="1" thickBot="1">
      <c r="A50" s="35" t="s">
        <v>64</v>
      </c>
      <c r="B50" s="36">
        <v>0.7</v>
      </c>
      <c r="C50" s="36">
        <v>0.3</v>
      </c>
    </row>
    <row r="51" spans="1:3" ht="15" customHeight="1" thickBot="1">
      <c r="A51" s="38" t="s">
        <v>44</v>
      </c>
      <c r="B51" s="39">
        <v>0.8</v>
      </c>
      <c r="C51" s="39">
        <v>0.2</v>
      </c>
    </row>
    <row r="52" spans="1:3" ht="15" customHeight="1" thickBot="1">
      <c r="A52" s="38" t="s">
        <v>94</v>
      </c>
      <c r="B52" s="39"/>
      <c r="C52" s="39">
        <v>1</v>
      </c>
    </row>
    <row r="53" spans="1:3" ht="15" customHeight="1" thickBot="1">
      <c r="A53" s="38" t="s">
        <v>65</v>
      </c>
      <c r="B53" s="39">
        <v>0.6</v>
      </c>
      <c r="C53" s="39">
        <v>0.4</v>
      </c>
    </row>
    <row r="54" spans="1:3" ht="15" customHeight="1" thickBot="1">
      <c r="A54" s="38" t="s">
        <v>95</v>
      </c>
      <c r="B54" s="64"/>
      <c r="C54" s="39">
        <v>1</v>
      </c>
    </row>
    <row r="55" spans="1:3" ht="15" customHeight="1" thickBot="1">
      <c r="A55" s="38" t="s">
        <v>66</v>
      </c>
      <c r="B55" s="39">
        <v>1</v>
      </c>
      <c r="C55" s="39"/>
    </row>
    <row r="56" spans="1:3" ht="36" customHeight="1" thickBot="1">
      <c r="A56" s="38" t="s">
        <v>67</v>
      </c>
      <c r="B56" s="39">
        <v>1</v>
      </c>
      <c r="C56" s="39"/>
    </row>
    <row r="57" spans="1:3" ht="15" customHeight="1" thickBot="1">
      <c r="A57" s="38" t="s">
        <v>68</v>
      </c>
      <c r="B57" s="39">
        <v>1</v>
      </c>
      <c r="C57" s="39"/>
    </row>
    <row r="58" spans="1:3" ht="15" customHeight="1">
      <c r="A58" s="128"/>
      <c r="B58" s="128"/>
      <c r="C58" s="128"/>
    </row>
    <row r="59" s="124" customFormat="1" ht="15" customHeight="1"/>
    <row r="61" spans="2:5" ht="20.25" customHeight="1">
      <c r="B61" s="205" t="s">
        <v>72</v>
      </c>
      <c r="C61" s="205"/>
      <c r="D61" s="205"/>
      <c r="E61" s="205"/>
    </row>
    <row r="62" spans="2:6" ht="64.5" customHeight="1" thickBot="1">
      <c r="B62" s="96" t="s">
        <v>73</v>
      </c>
      <c r="C62" s="96" t="s">
        <v>56</v>
      </c>
      <c r="D62" s="96" t="s">
        <v>74</v>
      </c>
      <c r="E62" s="96" t="s">
        <v>75</v>
      </c>
      <c r="F62" s="96" t="s">
        <v>219</v>
      </c>
    </row>
    <row r="63" spans="1:6" ht="15" customHeight="1" thickBot="1">
      <c r="A63" s="35" t="s">
        <v>64</v>
      </c>
      <c r="B63" s="36">
        <v>0.7</v>
      </c>
      <c r="C63" s="150">
        <f>B63*G39</f>
        <v>1306.6666666666667</v>
      </c>
      <c r="D63" s="45">
        <f>J39*B63</f>
        <v>8493.333333333332</v>
      </c>
      <c r="E63" s="45">
        <f>D63*Δεδομένα!$B$124</f>
        <v>254.79999999999995</v>
      </c>
      <c r="F63" s="45">
        <f>D63*Δεδομένα!$B$125</f>
        <v>70.49466666666666</v>
      </c>
    </row>
    <row r="64" spans="1:6" ht="15" customHeight="1" thickBot="1">
      <c r="A64" s="38" t="s">
        <v>44</v>
      </c>
      <c r="B64" s="39">
        <v>0.8</v>
      </c>
      <c r="C64" s="150">
        <f aca="true" t="shared" si="12" ref="C64:C70">B64*G40</f>
        <v>106.66666666666669</v>
      </c>
      <c r="D64" s="45">
        <f aca="true" t="shared" si="13" ref="D64:D69">J40*B64</f>
        <v>266.6666666666667</v>
      </c>
      <c r="E64" s="45">
        <f>D64*Δεδομένα!$B$124</f>
        <v>8</v>
      </c>
      <c r="F64" s="45">
        <f>D64*Δεδομένα!$B$125</f>
        <v>2.2133333333333334</v>
      </c>
    </row>
    <row r="65" spans="1:6" ht="15" customHeight="1" thickBot="1">
      <c r="A65" s="38" t="s">
        <v>94</v>
      </c>
      <c r="B65" s="39"/>
      <c r="C65" s="150">
        <f t="shared" si="12"/>
        <v>0</v>
      </c>
      <c r="D65" s="45">
        <f t="shared" si="13"/>
        <v>0</v>
      </c>
      <c r="E65" s="45">
        <f>D65*Δεδομένα!$B$124</f>
        <v>0</v>
      </c>
      <c r="F65" s="45">
        <f>D65*Δεδομένα!$B$125</f>
        <v>0</v>
      </c>
    </row>
    <row r="66" spans="1:6" ht="15" customHeight="1" thickBot="1">
      <c r="A66" s="38" t="s">
        <v>65</v>
      </c>
      <c r="B66" s="39">
        <v>0.6</v>
      </c>
      <c r="C66" s="150">
        <f t="shared" si="12"/>
        <v>40</v>
      </c>
      <c r="D66" s="45">
        <f t="shared" si="13"/>
        <v>179.99999999999991</v>
      </c>
      <c r="E66" s="45">
        <f>D66*Δεδομένα!$B$124</f>
        <v>5.399999999999997</v>
      </c>
      <c r="F66" s="45">
        <f>D66*Δεδομένα!$B$125</f>
        <v>1.4939999999999993</v>
      </c>
    </row>
    <row r="67" spans="1:6" ht="15" customHeight="1" thickBot="1">
      <c r="A67" s="38" t="s">
        <v>95</v>
      </c>
      <c r="B67" s="64"/>
      <c r="C67" s="150">
        <f t="shared" si="12"/>
        <v>0</v>
      </c>
      <c r="D67" s="45">
        <f t="shared" si="13"/>
        <v>0</v>
      </c>
      <c r="E67" s="45">
        <f>D67*Δεδομένα!$B$124</f>
        <v>0</v>
      </c>
      <c r="F67" s="45">
        <f>D67*Δεδομένα!$B$125</f>
        <v>0</v>
      </c>
    </row>
    <row r="68" spans="1:6" ht="15" customHeight="1" thickBot="1">
      <c r="A68" s="38" t="s">
        <v>66</v>
      </c>
      <c r="B68" s="39">
        <v>1</v>
      </c>
      <c r="C68" s="150">
        <f t="shared" si="12"/>
        <v>80</v>
      </c>
      <c r="D68" s="45">
        <f t="shared" si="13"/>
        <v>600</v>
      </c>
      <c r="E68" s="45">
        <f>D68*Δεδομένα!$B$124</f>
        <v>18</v>
      </c>
      <c r="F68" s="45">
        <f>D68*Δεδομένα!$B$125</f>
        <v>4.98</v>
      </c>
    </row>
    <row r="69" spans="1:6" ht="46.5" customHeight="1" thickBot="1">
      <c r="A69" s="38" t="s">
        <v>67</v>
      </c>
      <c r="B69" s="39">
        <v>1</v>
      </c>
      <c r="C69" s="150">
        <f t="shared" si="12"/>
        <v>100</v>
      </c>
      <c r="D69" s="45">
        <f t="shared" si="13"/>
        <v>750</v>
      </c>
      <c r="E69" s="45">
        <f>D69*Δεδομένα!$B$124</f>
        <v>22.5</v>
      </c>
      <c r="F69" s="45">
        <f>D69*Δεδομένα!$B$125</f>
        <v>6.225</v>
      </c>
    </row>
    <row r="70" spans="1:6" ht="15" customHeight="1" thickBot="1">
      <c r="A70" s="38" t="s">
        <v>68</v>
      </c>
      <c r="B70" s="39">
        <v>1</v>
      </c>
      <c r="C70" s="150">
        <f t="shared" si="12"/>
        <v>1250</v>
      </c>
      <c r="D70" s="45">
        <f>J46*B70</f>
        <v>3125</v>
      </c>
      <c r="E70" s="45">
        <v>0</v>
      </c>
      <c r="F70" s="45">
        <v>0</v>
      </c>
    </row>
    <row r="71" spans="1:6" ht="15" customHeight="1" thickBot="1">
      <c r="A71" s="206" t="s">
        <v>0</v>
      </c>
      <c r="B71" s="206"/>
      <c r="C71" s="143">
        <f>SUM(C63:C70)</f>
        <v>2883.3333333333335</v>
      </c>
      <c r="D71" s="46">
        <f>SUM(D63:D70)</f>
        <v>13414.999999999998</v>
      </c>
      <c r="E71" s="46">
        <f>SUM(E63:E70)</f>
        <v>308.69999999999993</v>
      </c>
      <c r="F71" s="46">
        <f>SUM(F63:F70)</f>
        <v>85.407</v>
      </c>
    </row>
    <row r="72" spans="1:6" ht="15" customHeight="1">
      <c r="A72" s="151"/>
      <c r="B72" s="151"/>
      <c r="C72" s="136"/>
      <c r="D72" s="113"/>
      <c r="E72" s="113"/>
      <c r="F72" s="113"/>
    </row>
    <row r="73" spans="1:6" ht="15" customHeight="1">
      <c r="A73" s="152" t="s">
        <v>220</v>
      </c>
      <c r="B73" s="155">
        <f>Δεδομένα!B98*Δεδομένα!B100</f>
        <v>40000</v>
      </c>
      <c r="C73" s="136"/>
      <c r="D73" s="113"/>
      <c r="E73" s="113"/>
      <c r="F73" s="113"/>
    </row>
    <row r="74" spans="1:6" ht="15" customHeight="1">
      <c r="A74" s="151"/>
      <c r="B74" s="151"/>
      <c r="C74" s="136"/>
      <c r="D74" s="113"/>
      <c r="E74" s="113"/>
      <c r="F74" s="113"/>
    </row>
    <row r="75" spans="1:3" ht="15" customHeight="1" thickBot="1">
      <c r="A75" s="128"/>
      <c r="B75" s="128"/>
      <c r="C75" s="128"/>
    </row>
    <row r="76" spans="1:3" ht="31.5" customHeight="1" thickBot="1">
      <c r="A76" s="207" t="s">
        <v>76</v>
      </c>
      <c r="B76" s="208"/>
      <c r="C76" s="156">
        <f>B73+D71</f>
        <v>53415</v>
      </c>
    </row>
    <row r="78" s="124" customFormat="1" ht="15" customHeight="1"/>
    <row r="80" spans="2:5" ht="35.25" customHeight="1">
      <c r="B80" s="205" t="s">
        <v>221</v>
      </c>
      <c r="C80" s="205"/>
      <c r="D80" s="205"/>
      <c r="E80" s="205"/>
    </row>
    <row r="81" spans="2:6" ht="57.75" customHeight="1" thickBot="1">
      <c r="B81" s="96" t="s">
        <v>222</v>
      </c>
      <c r="C81" s="96" t="s">
        <v>56</v>
      </c>
      <c r="D81" s="96" t="s">
        <v>74</v>
      </c>
      <c r="E81" s="96" t="s">
        <v>75</v>
      </c>
      <c r="F81" s="96" t="s">
        <v>219</v>
      </c>
    </row>
    <row r="82" spans="1:6" ht="15" customHeight="1" thickBot="1">
      <c r="A82" s="35" t="s">
        <v>64</v>
      </c>
      <c r="B82" s="36">
        <v>0.3</v>
      </c>
      <c r="C82" s="150">
        <f>B82*G39</f>
        <v>560</v>
      </c>
      <c r="D82" s="45">
        <f>B82*J39</f>
        <v>3639.9999999999995</v>
      </c>
      <c r="E82" s="45">
        <f>D82*Δεδομένα!$B$159</f>
        <v>109.19999999999999</v>
      </c>
      <c r="F82" s="45">
        <f>C82*Δεδομένα!$B$160</f>
        <v>4.648</v>
      </c>
    </row>
    <row r="83" spans="1:6" ht="15" customHeight="1" thickBot="1">
      <c r="A83" s="38" t="s">
        <v>44</v>
      </c>
      <c r="B83" s="39">
        <v>0.2</v>
      </c>
      <c r="C83" s="150">
        <f aca="true" t="shared" si="14" ref="C83:C89">B83*G40</f>
        <v>26.66666666666667</v>
      </c>
      <c r="D83" s="45">
        <f aca="true" t="shared" si="15" ref="D83:D89">B83*J40</f>
        <v>66.66666666666667</v>
      </c>
      <c r="E83" s="45">
        <f>D83*Δεδομένα!$B$159</f>
        <v>2</v>
      </c>
      <c r="F83" s="45">
        <f>C83*Δεδομένα!$B$160</f>
        <v>0.22133333333333338</v>
      </c>
    </row>
    <row r="84" spans="1:6" ht="15" customHeight="1" thickBot="1">
      <c r="A84" s="38" t="s">
        <v>94</v>
      </c>
      <c r="B84" s="39">
        <v>1</v>
      </c>
      <c r="C84" s="150">
        <f t="shared" si="14"/>
        <v>166.66666666666666</v>
      </c>
      <c r="D84" s="45">
        <f t="shared" si="15"/>
        <v>416.6666666666667</v>
      </c>
      <c r="E84" s="45">
        <f>D84*Δεδομένα!$B$159</f>
        <v>12.5</v>
      </c>
      <c r="F84" s="45">
        <f>C84*Δεδομένα!$B$160</f>
        <v>1.3833333333333333</v>
      </c>
    </row>
    <row r="85" spans="1:6" ht="15" customHeight="1" thickBot="1">
      <c r="A85" s="38" t="s">
        <v>65</v>
      </c>
      <c r="B85" s="39">
        <v>0.4</v>
      </c>
      <c r="C85" s="150">
        <f t="shared" si="14"/>
        <v>26.66666666666667</v>
      </c>
      <c r="D85" s="45">
        <f t="shared" si="15"/>
        <v>119.99999999999996</v>
      </c>
      <c r="E85" s="45">
        <f>D85*Δεδομένα!$B$159</f>
        <v>3.5999999999999988</v>
      </c>
      <c r="F85" s="45">
        <f>C85*Δεδομένα!$B$160</f>
        <v>0.22133333333333338</v>
      </c>
    </row>
    <row r="86" spans="1:6" ht="15" customHeight="1" thickBot="1">
      <c r="A86" s="38" t="s">
        <v>95</v>
      </c>
      <c r="B86" s="39">
        <v>1</v>
      </c>
      <c r="C86" s="150">
        <f t="shared" si="14"/>
        <v>73.33333333333333</v>
      </c>
      <c r="D86" s="45">
        <f t="shared" si="15"/>
        <v>403.33333333333337</v>
      </c>
      <c r="E86" s="45">
        <f>D86*Δεδομένα!$B$159</f>
        <v>12.100000000000001</v>
      </c>
      <c r="F86" s="45">
        <f>C86*Δεδομένα!$B$160</f>
        <v>0.6086666666666667</v>
      </c>
    </row>
    <row r="87" spans="1:6" ht="15" customHeight="1" thickBot="1">
      <c r="A87" s="38" t="s">
        <v>66</v>
      </c>
      <c r="B87" s="39">
        <v>0</v>
      </c>
      <c r="C87" s="150">
        <f t="shared" si="14"/>
        <v>0</v>
      </c>
      <c r="D87" s="45">
        <f t="shared" si="15"/>
        <v>0</v>
      </c>
      <c r="E87" s="45">
        <f>D87*Δεδομένα!$B$159</f>
        <v>0</v>
      </c>
      <c r="F87" s="45">
        <f>C87*Δεδομένα!$B$160</f>
        <v>0</v>
      </c>
    </row>
    <row r="88" spans="1:6" ht="15" customHeight="1" thickBot="1">
      <c r="A88" s="38" t="s">
        <v>67</v>
      </c>
      <c r="B88" s="39">
        <v>0</v>
      </c>
      <c r="C88" s="150">
        <f t="shared" si="14"/>
        <v>0</v>
      </c>
      <c r="D88" s="45">
        <f t="shared" si="15"/>
        <v>0</v>
      </c>
      <c r="E88" s="45">
        <f>D88*Δεδομένα!$B$159</f>
        <v>0</v>
      </c>
      <c r="F88" s="45">
        <f>C88*Δεδομένα!$B$160</f>
        <v>0</v>
      </c>
    </row>
    <row r="89" spans="1:6" ht="15" customHeight="1" thickBot="1">
      <c r="A89" s="38" t="s">
        <v>68</v>
      </c>
      <c r="B89" s="39">
        <v>0</v>
      </c>
      <c r="C89" s="150">
        <f t="shared" si="14"/>
        <v>0</v>
      </c>
      <c r="D89" s="45">
        <f t="shared" si="15"/>
        <v>0</v>
      </c>
      <c r="E89" s="45">
        <f>D89*Δεδομένα!$B$159</f>
        <v>0</v>
      </c>
      <c r="F89" s="45">
        <f>C89*Δεδομένα!$B$160</f>
        <v>0</v>
      </c>
    </row>
    <row r="90" spans="1:6" ht="15" customHeight="1" thickBot="1">
      <c r="A90" s="206" t="s">
        <v>0</v>
      </c>
      <c r="B90" s="206"/>
      <c r="C90" s="143">
        <f>SUM(C82:C89)</f>
        <v>853.3333333333333</v>
      </c>
      <c r="D90" s="46">
        <f>SUM(D82:D89)</f>
        <v>4646.666666666666</v>
      </c>
      <c r="E90" s="46">
        <f>SUM(E82:E89)</f>
        <v>139.39999999999998</v>
      </c>
      <c r="F90" s="46">
        <f>SUM(F82:F89)</f>
        <v>7.082666666666666</v>
      </c>
    </row>
    <row r="91" spans="1:6" ht="15" customHeight="1">
      <c r="A91" s="151"/>
      <c r="B91" s="151"/>
      <c r="C91" s="136"/>
      <c r="D91" s="113"/>
      <c r="E91" s="113"/>
      <c r="F91" s="113"/>
    </row>
    <row r="92" spans="1:6" ht="15" customHeight="1">
      <c r="A92" s="152" t="s">
        <v>220</v>
      </c>
      <c r="B92" s="155">
        <f>Δεδομένα!B130*Δεδομένα!B132</f>
        <v>22000</v>
      </c>
      <c r="C92" s="136"/>
      <c r="D92" s="113"/>
      <c r="E92" s="113"/>
      <c r="F92" s="113"/>
    </row>
    <row r="93" spans="1:6" ht="15" customHeight="1">
      <c r="A93" s="151"/>
      <c r="B93" s="151"/>
      <c r="C93" s="136"/>
      <c r="D93" s="113"/>
      <c r="E93" s="113"/>
      <c r="F93" s="113"/>
    </row>
    <row r="94" spans="1:3" ht="15" customHeight="1" thickBot="1">
      <c r="A94" s="128"/>
      <c r="B94" s="128"/>
      <c r="C94" s="128"/>
    </row>
    <row r="95" spans="1:3" ht="32.25" customHeight="1" thickBot="1">
      <c r="A95" s="207" t="s">
        <v>223</v>
      </c>
      <c r="B95" s="208"/>
      <c r="C95" s="156">
        <f>B92+D90</f>
        <v>26646.666666666664</v>
      </c>
    </row>
    <row r="97" ht="15" customHeight="1" thickBot="1"/>
    <row r="98" spans="1:5" ht="43.5" customHeight="1" thickBot="1">
      <c r="A98" s="207" t="s">
        <v>224</v>
      </c>
      <c r="B98" s="208"/>
      <c r="C98" s="156">
        <f>D90</f>
        <v>4646.666666666666</v>
      </c>
      <c r="E98" s="120"/>
    </row>
    <row r="100" s="124" customFormat="1" ht="15" customHeight="1"/>
    <row r="101" ht="15" customHeight="1" thickBot="1"/>
    <row r="102" spans="1:3" ht="40.5" customHeight="1" thickBot="1">
      <c r="A102" s="157" t="s">
        <v>225</v>
      </c>
      <c r="B102" s="158">
        <f>B33+C76+C95</f>
        <v>287054.06666666665</v>
      </c>
      <c r="C102" s="128"/>
    </row>
    <row r="103" spans="1:3" ht="15" customHeight="1">
      <c r="A103" s="128"/>
      <c r="B103" s="128"/>
      <c r="C103" s="128"/>
    </row>
    <row r="104" spans="1:3" ht="15" customHeight="1" thickBot="1">
      <c r="A104" s="128"/>
      <c r="B104" s="128"/>
      <c r="C104" s="128"/>
    </row>
    <row r="105" spans="1:4" ht="102" customHeight="1" thickBot="1">
      <c r="A105" s="157" t="s">
        <v>226</v>
      </c>
      <c r="B105" s="158">
        <f>B33+C76+C98</f>
        <v>265054.06666666665</v>
      </c>
      <c r="C105" s="128"/>
      <c r="D105" s="120"/>
    </row>
    <row r="106" spans="1:3" ht="15" customHeight="1">
      <c r="A106" s="128"/>
      <c r="B106" s="128"/>
      <c r="C106" s="128"/>
    </row>
    <row r="107" spans="1:3" ht="15" customHeight="1">
      <c r="A107" s="128"/>
      <c r="B107" s="128"/>
      <c r="C107" s="128"/>
    </row>
    <row r="108" spans="1:3" ht="15" customHeight="1">
      <c r="A108" s="128"/>
      <c r="B108" s="128"/>
      <c r="C108" s="128"/>
    </row>
    <row r="109" spans="1:3" ht="15" customHeight="1">
      <c r="A109" s="128"/>
      <c r="B109" s="128"/>
      <c r="C109" s="128"/>
    </row>
    <row r="110" spans="1:3" ht="15" customHeight="1">
      <c r="A110" s="128"/>
      <c r="B110" s="128"/>
      <c r="C110" s="128"/>
    </row>
    <row r="118" ht="15" customHeight="1" thickBot="1"/>
    <row r="119" spans="1:3" ht="36" customHeight="1" thickBot="1">
      <c r="A119" s="209" t="s">
        <v>77</v>
      </c>
      <c r="B119" s="209"/>
      <c r="C119" s="47" t="e">
        <f>#REF!+C76</f>
        <v>#REF!</v>
      </c>
    </row>
  </sheetData>
  <sheetProtection/>
  <mergeCells count="19">
    <mergeCell ref="A49:C49"/>
    <mergeCell ref="A47:F47"/>
    <mergeCell ref="B80:E80"/>
    <mergeCell ref="A90:B90"/>
    <mergeCell ref="A76:B76"/>
    <mergeCell ref="A119:B119"/>
    <mergeCell ref="B61:E61"/>
    <mergeCell ref="A71:B71"/>
    <mergeCell ref="A95:B95"/>
    <mergeCell ref="A98:B98"/>
    <mergeCell ref="A1:I1"/>
    <mergeCell ref="A25:C25"/>
    <mergeCell ref="A37:B37"/>
    <mergeCell ref="E37:F37"/>
    <mergeCell ref="H37:I37"/>
    <mergeCell ref="A11:B11"/>
    <mergeCell ref="A2:I2"/>
    <mergeCell ref="E3:F3"/>
    <mergeCell ref="H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 Greek,Bold\&amp;U&amp;F&amp;R&amp;"Arial Greek,Bold Italic\&amp;A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103">
      <selection activeCell="E90" sqref="E90"/>
    </sheetView>
  </sheetViews>
  <sheetFormatPr defaultColWidth="9.00390625" defaultRowHeight="15" customHeight="1"/>
  <cols>
    <col min="1" max="1" width="53.125" style="27" customWidth="1"/>
    <col min="2" max="6" width="13.00390625" style="27" customWidth="1"/>
    <col min="7" max="9" width="11.00390625" style="27" bestFit="1" customWidth="1"/>
    <col min="10" max="16384" width="9.125" style="27" customWidth="1"/>
  </cols>
  <sheetData>
    <row r="1" spans="1:6" ht="15" customHeight="1">
      <c r="A1" s="211" t="s">
        <v>227</v>
      </c>
      <c r="B1" s="211"/>
      <c r="C1" s="211"/>
      <c r="D1" s="211"/>
      <c r="E1" s="211"/>
      <c r="F1" s="211"/>
    </row>
    <row r="3" spans="1:6" ht="30" customHeight="1">
      <c r="A3" s="21" t="s">
        <v>7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16</v>
      </c>
    </row>
    <row r="4" spans="1:6" ht="15" customHeight="1">
      <c r="A4" s="210" t="s">
        <v>5</v>
      </c>
      <c r="B4" s="210"/>
      <c r="C4" s="210"/>
      <c r="D4" s="210"/>
      <c r="E4" s="210"/>
      <c r="F4" s="210"/>
    </row>
    <row r="5" spans="1:6" ht="15" customHeight="1">
      <c r="A5" s="167" t="s">
        <v>6</v>
      </c>
      <c r="B5" s="28">
        <f>Δεδομένα!B66*Δεδομένα!B67</f>
        <v>90</v>
      </c>
      <c r="C5" s="28"/>
      <c r="D5" s="29">
        <f>+$B5</f>
        <v>90</v>
      </c>
      <c r="E5" s="29"/>
      <c r="F5" s="29">
        <f>+$B5</f>
        <v>90</v>
      </c>
    </row>
    <row r="6" spans="1:6" ht="15" customHeight="1">
      <c r="A6" s="167" t="s">
        <v>8</v>
      </c>
      <c r="B6" s="28">
        <v>0</v>
      </c>
      <c r="C6" s="28"/>
      <c r="D6" s="29">
        <f>+$B6</f>
        <v>0</v>
      </c>
      <c r="E6" s="29">
        <f>+$B6</f>
        <v>0</v>
      </c>
      <c r="F6" s="29"/>
    </row>
    <row r="7" spans="1:6" ht="15" customHeight="1">
      <c r="A7" s="168" t="s">
        <v>0</v>
      </c>
      <c r="B7" s="30">
        <f>SUM(B5:B6)</f>
        <v>90</v>
      </c>
      <c r="C7" s="30">
        <f>SUM(C5:C6)</f>
        <v>0</v>
      </c>
      <c r="D7" s="30">
        <f>SUM(D5:D6)</f>
        <v>90</v>
      </c>
      <c r="E7" s="30">
        <f>SUM(E5:E6)</f>
        <v>0</v>
      </c>
      <c r="F7" s="30">
        <f>SUM(F5:F6)</f>
        <v>90</v>
      </c>
    </row>
    <row r="8" spans="1:6" ht="15" customHeight="1">
      <c r="A8" s="210" t="s">
        <v>9</v>
      </c>
      <c r="B8" s="210"/>
      <c r="C8" s="210"/>
      <c r="D8" s="210"/>
      <c r="E8" s="210"/>
      <c r="F8" s="210"/>
    </row>
    <row r="9" spans="1:6" ht="15" customHeight="1">
      <c r="A9" s="167" t="s">
        <v>10</v>
      </c>
      <c r="B9" s="28">
        <f>Δεδομένα!B55</f>
        <v>26880</v>
      </c>
      <c r="C9" s="31"/>
      <c r="D9" s="29">
        <f>+$B9</f>
        <v>26880</v>
      </c>
      <c r="E9" s="29"/>
      <c r="F9" s="29">
        <f>+$B9</f>
        <v>26880</v>
      </c>
    </row>
    <row r="10" spans="1:6" ht="15" customHeight="1">
      <c r="A10" s="167" t="s">
        <v>83</v>
      </c>
      <c r="B10" s="28">
        <v>0</v>
      </c>
      <c r="C10" s="29">
        <f>+$B10</f>
        <v>0</v>
      </c>
      <c r="D10" s="29"/>
      <c r="E10" s="29">
        <f>+$B10</f>
        <v>0</v>
      </c>
      <c r="F10" s="29"/>
    </row>
    <row r="11" spans="1:6" ht="15" customHeight="1">
      <c r="A11" s="167" t="s">
        <v>229</v>
      </c>
      <c r="B11" s="28">
        <f>Δεδομένα!B57</f>
        <v>1524</v>
      </c>
      <c r="C11" s="29"/>
      <c r="D11" s="29">
        <f>B11</f>
        <v>1524</v>
      </c>
      <c r="E11" s="29">
        <f>B11</f>
        <v>1524</v>
      </c>
      <c r="F11" s="29"/>
    </row>
    <row r="12" spans="1:6" ht="15" customHeight="1">
      <c r="A12" s="167" t="s">
        <v>230</v>
      </c>
      <c r="B12" s="28">
        <f>(B9+B10+B11)*Δεδομένα!B59/2</f>
        <v>845.019</v>
      </c>
      <c r="C12" s="29"/>
      <c r="D12" s="29">
        <f>B12</f>
        <v>845.019</v>
      </c>
      <c r="E12" s="29"/>
      <c r="F12" s="29">
        <f>B12</f>
        <v>845.019</v>
      </c>
    </row>
    <row r="13" spans="1:6" ht="15" customHeight="1">
      <c r="A13" s="168" t="s">
        <v>0</v>
      </c>
      <c r="B13" s="30">
        <f>SUM(B9:B12)</f>
        <v>29249.019</v>
      </c>
      <c r="C13" s="30">
        <f>SUM(C9:C12)</f>
        <v>0</v>
      </c>
      <c r="D13" s="30">
        <f>SUM(D9:D12)</f>
        <v>29249.019</v>
      </c>
      <c r="E13" s="30">
        <f>SUM(E9:E12)</f>
        <v>1524</v>
      </c>
      <c r="F13" s="30">
        <f>SUM(F9:F12)</f>
        <v>27725.019</v>
      </c>
    </row>
    <row r="14" spans="1:6" ht="15" customHeight="1">
      <c r="A14" s="210" t="s">
        <v>11</v>
      </c>
      <c r="B14" s="210"/>
      <c r="C14" s="210"/>
      <c r="D14" s="210"/>
      <c r="E14" s="210"/>
      <c r="F14" s="210"/>
    </row>
    <row r="15" spans="1:6" ht="15" customHeight="1">
      <c r="A15" s="172" t="s">
        <v>12</v>
      </c>
      <c r="B15" s="22"/>
      <c r="C15" s="22"/>
      <c r="D15" s="23"/>
      <c r="E15" s="23"/>
      <c r="F15" s="23"/>
    </row>
    <row r="16" spans="1:6" ht="15" customHeight="1">
      <c r="A16" s="169" t="s">
        <v>13</v>
      </c>
      <c r="B16" s="28">
        <f>'Αποσβέσεις-ΜΕΚ'!G11</f>
        <v>8671.2</v>
      </c>
      <c r="C16" s="28"/>
      <c r="D16" s="29">
        <f>+$B16</f>
        <v>8671.2</v>
      </c>
      <c r="E16" s="29">
        <f>+$B16</f>
        <v>8671.2</v>
      </c>
      <c r="F16" s="29"/>
    </row>
    <row r="17" spans="1:6" ht="15" customHeight="1">
      <c r="A17" s="169" t="s">
        <v>58</v>
      </c>
      <c r="B17" s="28">
        <f>('Αποσβέσεις-ΜΕΚ'!J11+'Αποσβέσεις-ΜΕΚ'!D25)*Δεδομένα!B59</f>
        <v>12119.6978</v>
      </c>
      <c r="C17" s="28"/>
      <c r="D17" s="29">
        <f>+$B17</f>
        <v>12119.6978</v>
      </c>
      <c r="E17" s="29"/>
      <c r="F17" s="29">
        <f>+$B17</f>
        <v>12119.6978</v>
      </c>
    </row>
    <row r="18" spans="1:6" ht="15" customHeight="1">
      <c r="A18" s="169" t="s">
        <v>42</v>
      </c>
      <c r="B18" s="28">
        <f>'Αποσβέσεις-ΜΕΚ'!K11</f>
        <v>1468.524</v>
      </c>
      <c r="C18" s="28"/>
      <c r="D18" s="29">
        <f>+$B18</f>
        <v>1468.524</v>
      </c>
      <c r="E18" s="29">
        <f>+$B18</f>
        <v>1468.524</v>
      </c>
      <c r="F18" s="29"/>
    </row>
    <row r="19" spans="1:6" ht="15" customHeight="1">
      <c r="A19" s="169" t="s">
        <v>59</v>
      </c>
      <c r="B19" s="28">
        <f>'Αποσβέσεις-ΜΕΚ'!L11</f>
        <v>856.4969199999999</v>
      </c>
      <c r="C19" s="28"/>
      <c r="D19" s="29">
        <f>+$B19</f>
        <v>856.4969199999999</v>
      </c>
      <c r="E19" s="29">
        <f>+$B19</f>
        <v>856.4969199999999</v>
      </c>
      <c r="F19" s="29"/>
    </row>
    <row r="20" spans="1:6" ht="15" customHeight="1">
      <c r="A20" s="170" t="s">
        <v>57</v>
      </c>
      <c r="B20" s="28">
        <f>(B18+B19)*Δεδομένα!B60/2</f>
        <v>55.80050208</v>
      </c>
      <c r="C20" s="28"/>
      <c r="D20" s="29">
        <f>+$B20</f>
        <v>55.80050208</v>
      </c>
      <c r="E20" s="29"/>
      <c r="F20" s="29">
        <f>+$B20</f>
        <v>55.80050208</v>
      </c>
    </row>
    <row r="21" spans="1:6" ht="15" customHeight="1">
      <c r="A21" s="171" t="s">
        <v>0</v>
      </c>
      <c r="B21" s="30">
        <f>SUM(B16:B20)</f>
        <v>23171.719222080003</v>
      </c>
      <c r="C21" s="30">
        <f>SUM(C16:C20)</f>
        <v>0</v>
      </c>
      <c r="D21" s="30">
        <f>SUM(D16:D20)</f>
        <v>23171.719222080003</v>
      </c>
      <c r="E21" s="30">
        <f>SUM(E16:E20)</f>
        <v>10996.22092</v>
      </c>
      <c r="F21" s="30">
        <f>SUM(F16:F20)</f>
        <v>12175.49830208</v>
      </c>
    </row>
    <row r="22" spans="1:6" ht="15" customHeight="1">
      <c r="A22" s="172" t="s">
        <v>14</v>
      </c>
      <c r="B22" s="24"/>
      <c r="C22" s="24"/>
      <c r="D22" s="25"/>
      <c r="E22" s="25"/>
      <c r="F22" s="25"/>
    </row>
    <row r="23" spans="1:6" ht="15" customHeight="1">
      <c r="A23" s="169" t="s">
        <v>15</v>
      </c>
      <c r="B23" s="28">
        <f>Δεδομένα!D44</f>
        <v>65430</v>
      </c>
      <c r="C23" s="29">
        <f>+$B23</f>
        <v>65430</v>
      </c>
      <c r="D23" s="29"/>
      <c r="E23" s="175">
        <f>Δεδομένα!D44-Δεδομένα!D43</f>
        <v>48930</v>
      </c>
      <c r="F23" s="175">
        <f>Δεδομένα!D43</f>
        <v>16500</v>
      </c>
    </row>
    <row r="24" spans="1:6" ht="15" customHeight="1">
      <c r="A24" s="169" t="s">
        <v>233</v>
      </c>
      <c r="B24" s="28">
        <f>Δεδομένα!B76*Δεδομένα!B58</f>
        <v>617.5000000000001</v>
      </c>
      <c r="C24" s="29">
        <f>+$B24</f>
        <v>617.5000000000001</v>
      </c>
      <c r="D24" s="29"/>
      <c r="E24" s="29">
        <f>+$B24</f>
        <v>617.5000000000001</v>
      </c>
      <c r="F24" s="29"/>
    </row>
    <row r="25" spans="1:6" ht="15" customHeight="1">
      <c r="A25" s="169" t="s">
        <v>80</v>
      </c>
      <c r="B25" s="28">
        <f>Δεδομένα!B49</f>
        <v>5220</v>
      </c>
      <c r="C25" s="29">
        <f>+$B25</f>
        <v>5220</v>
      </c>
      <c r="D25" s="29"/>
      <c r="E25" s="29">
        <f>+$B25</f>
        <v>5220</v>
      </c>
      <c r="F25" s="29"/>
    </row>
    <row r="26" spans="1:6" ht="15" customHeight="1">
      <c r="A26" s="169" t="s">
        <v>81</v>
      </c>
      <c r="B26" s="28">
        <f>Δεδομένα!B56</f>
        <v>180</v>
      </c>
      <c r="C26" s="29">
        <f>+$B26</f>
        <v>180</v>
      </c>
      <c r="D26" s="29"/>
      <c r="E26" s="29">
        <f>+$B26</f>
        <v>180</v>
      </c>
      <c r="F26" s="29"/>
    </row>
    <row r="27" spans="1:6" ht="15" customHeight="1">
      <c r="A27" s="169" t="s">
        <v>82</v>
      </c>
      <c r="B27" s="28">
        <f>(B23+B24+B25+B26)*Δεδομένα!B60/2</f>
        <v>1714.74</v>
      </c>
      <c r="C27" s="29">
        <f>+$B27</f>
        <v>1714.74</v>
      </c>
      <c r="D27" s="29"/>
      <c r="E27" s="29">
        <v>0</v>
      </c>
      <c r="F27" s="29">
        <f>+B27-E27</f>
        <v>1714.74</v>
      </c>
    </row>
    <row r="28" spans="1:6" ht="15" customHeight="1">
      <c r="A28" s="171" t="s">
        <v>0</v>
      </c>
      <c r="B28" s="30">
        <f>SUM(B23:B27)</f>
        <v>73162.24</v>
      </c>
      <c r="C28" s="30">
        <f>SUM(C23:C27)</f>
        <v>73162.24</v>
      </c>
      <c r="D28" s="30">
        <f>SUM(D23:D27)</f>
        <v>0</v>
      </c>
      <c r="E28" s="30">
        <f>SUM(E23:E27)</f>
        <v>54947.5</v>
      </c>
      <c r="F28" s="30">
        <f>SUM(F23:F27)</f>
        <v>18214.74</v>
      </c>
    </row>
    <row r="29" spans="1:6" ht="15" customHeight="1">
      <c r="A29" s="18" t="s">
        <v>45</v>
      </c>
      <c r="B29" s="30">
        <f>+B7+B13+B21+B28</f>
        <v>125672.97822208001</v>
      </c>
      <c r="C29" s="30">
        <f>+C7+C13+C21+C28</f>
        <v>73162.24</v>
      </c>
      <c r="D29" s="30">
        <f>+D7+D13+D21+D28</f>
        <v>52510.73822208001</v>
      </c>
      <c r="E29" s="30">
        <f>+E7+E13+E21+E28</f>
        <v>67467.72091999999</v>
      </c>
      <c r="F29" s="30">
        <f>+F7+F13+F21+F28</f>
        <v>58205.257302080005</v>
      </c>
    </row>
    <row r="30" spans="1:6" ht="15" customHeight="1">
      <c r="A30" s="17"/>
      <c r="B30" s="26"/>
      <c r="C30" s="26"/>
      <c r="D30" s="26"/>
      <c r="E30" s="26"/>
      <c r="F30" s="26"/>
    </row>
    <row r="34" spans="1:6" ht="15" customHeight="1">
      <c r="A34" s="211" t="s">
        <v>78</v>
      </c>
      <c r="B34" s="211"/>
      <c r="C34" s="211"/>
      <c r="D34" s="211"/>
      <c r="E34" s="211"/>
      <c r="F34" s="211"/>
    </row>
    <row r="36" spans="1:6" ht="30.75" customHeight="1">
      <c r="A36" s="21" t="s">
        <v>7</v>
      </c>
      <c r="B36" s="1" t="s">
        <v>1</v>
      </c>
      <c r="C36" s="2" t="s">
        <v>2</v>
      </c>
      <c r="D36" s="2" t="s">
        <v>3</v>
      </c>
      <c r="E36" s="2" t="s">
        <v>4</v>
      </c>
      <c r="F36" s="2" t="s">
        <v>16</v>
      </c>
    </row>
    <row r="37" spans="1:6" ht="15" customHeight="1">
      <c r="A37" s="210" t="s">
        <v>5</v>
      </c>
      <c r="B37" s="210"/>
      <c r="C37" s="210"/>
      <c r="D37" s="210"/>
      <c r="E37" s="210"/>
      <c r="F37" s="210"/>
    </row>
    <row r="38" spans="1:6" ht="15" customHeight="1">
      <c r="A38" s="167" t="s">
        <v>6</v>
      </c>
      <c r="B38" s="28">
        <f>Δεδομένα!B98*Δεδομένα!B99</f>
        <v>2000</v>
      </c>
      <c r="C38" s="28"/>
      <c r="D38" s="29">
        <f>+$B38</f>
        <v>2000</v>
      </c>
      <c r="E38" s="29"/>
      <c r="F38" s="29">
        <f>+$B38</f>
        <v>2000</v>
      </c>
    </row>
    <row r="39" spans="1:6" ht="15" customHeight="1">
      <c r="A39" s="167" t="s">
        <v>8</v>
      </c>
      <c r="B39" s="28">
        <v>0</v>
      </c>
      <c r="C39" s="28"/>
      <c r="D39" s="29">
        <f>+$B39</f>
        <v>0</v>
      </c>
      <c r="E39" s="29">
        <f>+$B39</f>
        <v>0</v>
      </c>
      <c r="F39" s="29"/>
    </row>
    <row r="40" spans="1:6" ht="15" customHeight="1">
      <c r="A40" s="168" t="s">
        <v>0</v>
      </c>
      <c r="B40" s="30">
        <f>SUM(B38:B39)</f>
        <v>2000</v>
      </c>
      <c r="C40" s="30">
        <f>SUM(C38:C39)</f>
        <v>0</v>
      </c>
      <c r="D40" s="30">
        <f>SUM(D38:D39)</f>
        <v>2000</v>
      </c>
      <c r="E40" s="30">
        <f>SUM(E38:E39)</f>
        <v>0</v>
      </c>
      <c r="F40" s="30">
        <f>SUM(F38:F39)</f>
        <v>2000</v>
      </c>
    </row>
    <row r="41" spans="1:6" ht="15" customHeight="1">
      <c r="A41" s="210" t="s">
        <v>9</v>
      </c>
      <c r="B41" s="210"/>
      <c r="C41" s="210"/>
      <c r="D41" s="210"/>
      <c r="E41" s="210"/>
      <c r="F41" s="210"/>
    </row>
    <row r="42" spans="1:6" ht="15" customHeight="1">
      <c r="A42" s="167" t="s">
        <v>10</v>
      </c>
      <c r="B42" s="28">
        <f>Δεδομένα!B105*Δεδομένα!B106</f>
        <v>1020</v>
      </c>
      <c r="C42" s="31"/>
      <c r="D42" s="29">
        <f>+$B42</f>
        <v>1020</v>
      </c>
      <c r="E42" s="29"/>
      <c r="F42" s="29">
        <f>+$B42</f>
        <v>1020</v>
      </c>
    </row>
    <row r="43" spans="1:6" ht="15" customHeight="1">
      <c r="A43" s="167" t="s">
        <v>83</v>
      </c>
      <c r="B43" s="28">
        <f>Δεδομένα!B104</f>
        <v>1100</v>
      </c>
      <c r="C43" s="29">
        <f>+$B43</f>
        <v>1100</v>
      </c>
      <c r="D43" s="29"/>
      <c r="E43" s="29">
        <f>+$B43</f>
        <v>1100</v>
      </c>
      <c r="F43" s="29"/>
    </row>
    <row r="44" spans="1:6" ht="15" customHeight="1">
      <c r="A44" s="167" t="s">
        <v>229</v>
      </c>
      <c r="B44" s="28">
        <v>0</v>
      </c>
      <c r="C44" s="29"/>
      <c r="D44" s="29">
        <f>B44</f>
        <v>0</v>
      </c>
      <c r="E44" s="29">
        <f>B44</f>
        <v>0</v>
      </c>
      <c r="F44" s="29"/>
    </row>
    <row r="45" spans="1:6" ht="15" customHeight="1">
      <c r="A45" s="167" t="s">
        <v>230</v>
      </c>
      <c r="B45" s="28">
        <f>(B42+B43+B44)*Δεδομένα!B126/2</f>
        <v>50.88</v>
      </c>
      <c r="C45" s="29">
        <f>(C42+C43+C44)*Δεδομένα!B126/2</f>
        <v>26.400000000000002</v>
      </c>
      <c r="D45" s="29">
        <f>B45-C45</f>
        <v>24.48</v>
      </c>
      <c r="E45" s="29"/>
      <c r="F45" s="29">
        <f>B45</f>
        <v>50.88</v>
      </c>
    </row>
    <row r="46" spans="1:6" ht="15" customHeight="1">
      <c r="A46" s="168" t="s">
        <v>0</v>
      </c>
      <c r="B46" s="30">
        <f>SUM(B42:B45)</f>
        <v>2170.88</v>
      </c>
      <c r="C46" s="30">
        <f>SUM(C42:C45)</f>
        <v>1126.4</v>
      </c>
      <c r="D46" s="30">
        <f>SUM(D42:D45)</f>
        <v>1044.48</v>
      </c>
      <c r="E46" s="30">
        <f>SUM(E42:E45)</f>
        <v>1100</v>
      </c>
      <c r="F46" s="30">
        <f>SUM(F42:F45)</f>
        <v>1070.88</v>
      </c>
    </row>
    <row r="47" spans="1:6" ht="15" customHeight="1">
      <c r="A47" s="210" t="s">
        <v>11</v>
      </c>
      <c r="B47" s="210"/>
      <c r="C47" s="210"/>
      <c r="D47" s="210"/>
      <c r="E47" s="210"/>
      <c r="F47" s="210"/>
    </row>
    <row r="48" spans="1:6" ht="15" customHeight="1">
      <c r="A48" s="172" t="s">
        <v>12</v>
      </c>
      <c r="B48" s="22"/>
      <c r="C48" s="22"/>
      <c r="D48" s="23"/>
      <c r="E48" s="23"/>
      <c r="F48" s="23"/>
    </row>
    <row r="49" spans="1:6" ht="15" customHeight="1">
      <c r="A49" s="169" t="s">
        <v>13</v>
      </c>
      <c r="B49" s="28">
        <f>'Αποσβέσεις-ΜΕΚ'!C71</f>
        <v>2883.3333333333335</v>
      </c>
      <c r="C49" s="28"/>
      <c r="D49" s="29">
        <f>+$B49</f>
        <v>2883.3333333333335</v>
      </c>
      <c r="E49" s="29">
        <f>+$B49</f>
        <v>2883.3333333333335</v>
      </c>
      <c r="F49" s="29"/>
    </row>
    <row r="50" spans="1:6" ht="15" customHeight="1">
      <c r="A50" s="169" t="s">
        <v>58</v>
      </c>
      <c r="B50" s="28">
        <f>'Αποσβέσεις-ΜΕΚ'!D71*Δεδομένα!B127</f>
        <v>798.1924999999999</v>
      </c>
      <c r="C50" s="28"/>
      <c r="D50" s="29">
        <f>+$B50</f>
        <v>798.1924999999999</v>
      </c>
      <c r="E50" s="29"/>
      <c r="F50" s="29">
        <f>+$B50</f>
        <v>798.1924999999999</v>
      </c>
    </row>
    <row r="51" spans="1:6" ht="15" customHeight="1">
      <c r="A51" s="169" t="s">
        <v>42</v>
      </c>
      <c r="B51" s="28">
        <f>'Αποσβέσεις-ΜΕΚ'!E71</f>
        <v>308.69999999999993</v>
      </c>
      <c r="C51" s="28"/>
      <c r="D51" s="29">
        <f>+$B51</f>
        <v>308.69999999999993</v>
      </c>
      <c r="E51" s="29">
        <f>+$B51</f>
        <v>308.69999999999993</v>
      </c>
      <c r="F51" s="29"/>
    </row>
    <row r="52" spans="1:6" ht="15" customHeight="1">
      <c r="A52" s="169" t="s">
        <v>59</v>
      </c>
      <c r="B52" s="28">
        <f>'Αποσβέσεις-ΜΕΚ'!F71</f>
        <v>85.407</v>
      </c>
      <c r="C52" s="28"/>
      <c r="D52" s="29">
        <f>+$B52</f>
        <v>85.407</v>
      </c>
      <c r="E52" s="29">
        <f>+$B52</f>
        <v>85.407</v>
      </c>
      <c r="F52" s="29"/>
    </row>
    <row r="53" spans="1:6" ht="15" customHeight="1">
      <c r="A53" s="170" t="s">
        <v>57</v>
      </c>
      <c r="B53" s="28">
        <f>(B51+B52)*Δεδομένα!B126/2</f>
        <v>9.458567999999998</v>
      </c>
      <c r="C53" s="28"/>
      <c r="D53" s="29">
        <f>+$B53</f>
        <v>9.458567999999998</v>
      </c>
      <c r="E53" s="29"/>
      <c r="F53" s="29">
        <f>+$B53</f>
        <v>9.458567999999998</v>
      </c>
    </row>
    <row r="54" spans="1:6" ht="15" customHeight="1">
      <c r="A54" s="171" t="s">
        <v>0</v>
      </c>
      <c r="B54" s="30">
        <f>SUM(B49:B53)</f>
        <v>4085.091401333333</v>
      </c>
      <c r="C54" s="30">
        <f>SUM(C49:C53)</f>
        <v>0</v>
      </c>
      <c r="D54" s="30">
        <f>SUM(D49:D53)</f>
        <v>4085.091401333333</v>
      </c>
      <c r="E54" s="30">
        <f>SUM(E49:E53)</f>
        <v>3277.4403333333335</v>
      </c>
      <c r="F54" s="30">
        <f>SUM(F49:F53)</f>
        <v>807.6510679999999</v>
      </c>
    </row>
    <row r="55" spans="1:6" ht="15" customHeight="1">
      <c r="A55" s="172" t="s">
        <v>14</v>
      </c>
      <c r="B55" s="24"/>
      <c r="C55" s="24"/>
      <c r="D55" s="25"/>
      <c r="E55" s="25"/>
      <c r="F55" s="25"/>
    </row>
    <row r="56" spans="1:6" ht="15" customHeight="1">
      <c r="A56" s="169" t="s">
        <v>15</v>
      </c>
      <c r="B56" s="28">
        <f>Δεδομένα!D114</f>
        <v>4005.6000000000004</v>
      </c>
      <c r="C56" s="29">
        <f>+$B56</f>
        <v>4005.6000000000004</v>
      </c>
      <c r="D56" s="29"/>
      <c r="E56" s="29">
        <f>B56</f>
        <v>4005.6000000000004</v>
      </c>
      <c r="F56" s="29">
        <f>Δεδομένα!D77</f>
        <v>0</v>
      </c>
    </row>
    <row r="57" spans="1:6" ht="15" customHeight="1">
      <c r="A57" s="169" t="s">
        <v>234</v>
      </c>
      <c r="B57" s="174">
        <v>0</v>
      </c>
      <c r="C57" s="29">
        <f>+$B57</f>
        <v>0</v>
      </c>
      <c r="D57" s="29"/>
      <c r="E57" s="29">
        <f>+$B57</f>
        <v>0</v>
      </c>
      <c r="F57" s="29"/>
    </row>
    <row r="58" spans="1:6" ht="15" customHeight="1">
      <c r="A58" s="169" t="s">
        <v>80</v>
      </c>
      <c r="B58" s="28">
        <f>Δεδομένα!B118+Δεδομένα!B119</f>
        <v>4650</v>
      </c>
      <c r="C58" s="29">
        <f>+$B58</f>
        <v>4650</v>
      </c>
      <c r="D58" s="29"/>
      <c r="E58" s="29">
        <f>+$B58</f>
        <v>4650</v>
      </c>
      <c r="F58" s="29"/>
    </row>
    <row r="59" spans="1:6" ht="15" customHeight="1">
      <c r="A59" s="169" t="s">
        <v>81</v>
      </c>
      <c r="B59" s="28">
        <f>Δεδομένα!B121</f>
        <v>50</v>
      </c>
      <c r="C59" s="29">
        <f>+$B59</f>
        <v>50</v>
      </c>
      <c r="D59" s="29"/>
      <c r="E59" s="29">
        <f>+$B59</f>
        <v>50</v>
      </c>
      <c r="F59" s="29"/>
    </row>
    <row r="60" spans="1:6" ht="15" customHeight="1">
      <c r="A60" s="169" t="s">
        <v>82</v>
      </c>
      <c r="B60" s="28">
        <f>(B56+B57+B58+B59)*Δεδομένα!B126/2</f>
        <v>208.9344</v>
      </c>
      <c r="C60" s="29">
        <f>+$B60</f>
        <v>208.9344</v>
      </c>
      <c r="D60" s="29"/>
      <c r="E60" s="29">
        <v>0</v>
      </c>
      <c r="F60" s="29">
        <f>+B60-E60</f>
        <v>208.9344</v>
      </c>
    </row>
    <row r="61" spans="1:6" ht="15" customHeight="1">
      <c r="A61" s="171" t="s">
        <v>0</v>
      </c>
      <c r="B61" s="30">
        <f>SUM(B56:B60)</f>
        <v>8914.5344</v>
      </c>
      <c r="C61" s="30">
        <f>SUM(C56:C60)</f>
        <v>8914.5344</v>
      </c>
      <c r="D61" s="30">
        <f>SUM(D56:D60)</f>
        <v>0</v>
      </c>
      <c r="E61" s="30">
        <f>SUM(E56:E60)</f>
        <v>8705.6</v>
      </c>
      <c r="F61" s="30">
        <f>SUM(F56:F60)</f>
        <v>208.9344</v>
      </c>
    </row>
    <row r="62" spans="1:6" ht="15" customHeight="1">
      <c r="A62" s="18" t="s">
        <v>45</v>
      </c>
      <c r="B62" s="30">
        <f>+B40+B46+B54+B61</f>
        <v>17170.505801333333</v>
      </c>
      <c r="C62" s="30">
        <f>+C40+C46+C54+C61</f>
        <v>10040.9344</v>
      </c>
      <c r="D62" s="30">
        <f>+D40+D46+D54+D61</f>
        <v>7129.571401333333</v>
      </c>
      <c r="E62" s="30">
        <f>+E40+E46+E54+E61</f>
        <v>13083.040333333334</v>
      </c>
      <c r="F62" s="30">
        <f>+F40+F46+F54+F61</f>
        <v>4087.4654680000003</v>
      </c>
    </row>
    <row r="64" spans="1:6" ht="15" customHeight="1">
      <c r="A64" s="211" t="s">
        <v>228</v>
      </c>
      <c r="B64" s="211"/>
      <c r="C64" s="211"/>
      <c r="D64" s="211"/>
      <c r="E64" s="211"/>
      <c r="F64" s="211"/>
    </row>
    <row r="66" spans="1:6" ht="38.25" customHeight="1">
      <c r="A66" s="21" t="s">
        <v>7</v>
      </c>
      <c r="B66" s="1" t="s">
        <v>1</v>
      </c>
      <c r="C66" s="2" t="s">
        <v>2</v>
      </c>
      <c r="D66" s="2" t="s">
        <v>3</v>
      </c>
      <c r="E66" s="2" t="s">
        <v>4</v>
      </c>
      <c r="F66" s="2" t="s">
        <v>16</v>
      </c>
    </row>
    <row r="67" spans="1:6" ht="15" customHeight="1">
      <c r="A67" s="210" t="s">
        <v>5</v>
      </c>
      <c r="B67" s="210"/>
      <c r="C67" s="210"/>
      <c r="D67" s="210"/>
      <c r="E67" s="210"/>
      <c r="F67" s="210"/>
    </row>
    <row r="68" spans="1:6" ht="15" customHeight="1">
      <c r="A68" s="167" t="s">
        <v>6</v>
      </c>
      <c r="B68" s="28">
        <v>0</v>
      </c>
      <c r="C68" s="28"/>
      <c r="D68" s="29">
        <f>+$B68</f>
        <v>0</v>
      </c>
      <c r="E68" s="29"/>
      <c r="F68" s="29">
        <f>+$B68</f>
        <v>0</v>
      </c>
    </row>
    <row r="69" spans="1:6" ht="15" customHeight="1">
      <c r="A69" s="167" t="s">
        <v>8</v>
      </c>
      <c r="B69" s="28">
        <f>Δεδομένα!B130*Δεδομένα!B131</f>
        <v>600</v>
      </c>
      <c r="C69" s="28"/>
      <c r="D69" s="29">
        <f>+$B69</f>
        <v>600</v>
      </c>
      <c r="E69" s="29">
        <f>+$B69</f>
        <v>600</v>
      </c>
      <c r="F69" s="29"/>
    </row>
    <row r="70" spans="1:6" ht="15" customHeight="1">
      <c r="A70" s="168" t="s">
        <v>0</v>
      </c>
      <c r="B70" s="30">
        <f>SUM(B68:B69)</f>
        <v>600</v>
      </c>
      <c r="C70" s="30">
        <f>SUM(C68:C69)</f>
        <v>0</v>
      </c>
      <c r="D70" s="30">
        <f>SUM(D68:D69)</f>
        <v>600</v>
      </c>
      <c r="E70" s="30">
        <f>SUM(E68:E69)</f>
        <v>600</v>
      </c>
      <c r="F70" s="30">
        <f>SUM(F68:F69)</f>
        <v>0</v>
      </c>
    </row>
    <row r="71" spans="1:6" ht="15" customHeight="1">
      <c r="A71" s="210" t="s">
        <v>9</v>
      </c>
      <c r="B71" s="210"/>
      <c r="C71" s="210"/>
      <c r="D71" s="210"/>
      <c r="E71" s="210"/>
      <c r="F71" s="210"/>
    </row>
    <row r="72" spans="1:6" ht="15" customHeight="1">
      <c r="A72" s="167" t="s">
        <v>10</v>
      </c>
      <c r="B72" s="28">
        <f>Δεδομένα!B135*Δεδομένα!B136</f>
        <v>90</v>
      </c>
      <c r="C72" s="31"/>
      <c r="D72" s="29">
        <f>+$B72</f>
        <v>90</v>
      </c>
      <c r="E72" s="29"/>
      <c r="F72" s="29">
        <f>+$B72</f>
        <v>90</v>
      </c>
    </row>
    <row r="73" spans="1:6" ht="15" customHeight="1">
      <c r="A73" s="167" t="s">
        <v>83</v>
      </c>
      <c r="B73" s="28">
        <f>Δεδομένα!B137</f>
        <v>30</v>
      </c>
      <c r="C73" s="29">
        <f>+$B73</f>
        <v>30</v>
      </c>
      <c r="D73" s="29"/>
      <c r="E73" s="29">
        <f>+$B73</f>
        <v>30</v>
      </c>
      <c r="F73" s="29"/>
    </row>
    <row r="74" spans="1:6" ht="15" customHeight="1">
      <c r="A74" s="167" t="s">
        <v>229</v>
      </c>
      <c r="B74" s="28">
        <v>0</v>
      </c>
      <c r="C74" s="29"/>
      <c r="D74" s="29">
        <f>B74</f>
        <v>0</v>
      </c>
      <c r="E74" s="29">
        <f>B74</f>
        <v>0</v>
      </c>
      <c r="F74" s="29"/>
    </row>
    <row r="75" spans="1:6" ht="15" customHeight="1">
      <c r="A75" s="167" t="s">
        <v>230</v>
      </c>
      <c r="B75" s="28">
        <f>(B72+B73+B74)*Δεδομένα!B157/2</f>
        <v>2.88</v>
      </c>
      <c r="C75" s="29">
        <f>C73*Δεδομένα!B157/2</f>
        <v>0.72</v>
      </c>
      <c r="D75" s="29">
        <f>B75-C75</f>
        <v>2.16</v>
      </c>
      <c r="E75" s="29"/>
      <c r="F75" s="29">
        <f>B75</f>
        <v>2.88</v>
      </c>
    </row>
    <row r="76" spans="1:6" ht="15" customHeight="1">
      <c r="A76" s="168" t="s">
        <v>0</v>
      </c>
      <c r="B76" s="30">
        <f>SUM(B72:B75)</f>
        <v>122.88</v>
      </c>
      <c r="C76" s="30">
        <f>SUM(C72:C75)</f>
        <v>30.72</v>
      </c>
      <c r="D76" s="30">
        <f>SUM(D72:D75)</f>
        <v>92.16</v>
      </c>
      <c r="E76" s="30">
        <f>SUM(E72:E75)</f>
        <v>30</v>
      </c>
      <c r="F76" s="30">
        <f>SUM(F72:F75)</f>
        <v>92.88</v>
      </c>
    </row>
    <row r="77" spans="1:6" ht="15" customHeight="1">
      <c r="A77" s="210" t="s">
        <v>11</v>
      </c>
      <c r="B77" s="210"/>
      <c r="C77" s="210"/>
      <c r="D77" s="210"/>
      <c r="E77" s="210"/>
      <c r="F77" s="210"/>
    </row>
    <row r="78" spans="1:6" ht="15" customHeight="1">
      <c r="A78" s="172" t="s">
        <v>12</v>
      </c>
      <c r="B78" s="22"/>
      <c r="C78" s="22"/>
      <c r="D78" s="23"/>
      <c r="E78" s="23"/>
      <c r="F78" s="23"/>
    </row>
    <row r="79" spans="1:6" ht="15" customHeight="1">
      <c r="A79" s="169" t="s">
        <v>13</v>
      </c>
      <c r="B79" s="28">
        <f>'Αποσβέσεις-ΜΕΚ'!C90</f>
        <v>853.3333333333333</v>
      </c>
      <c r="C79" s="28"/>
      <c r="D79" s="29">
        <f>+$B79</f>
        <v>853.3333333333333</v>
      </c>
      <c r="E79" s="29">
        <f>+$B79</f>
        <v>853.3333333333333</v>
      </c>
      <c r="F79" s="29"/>
    </row>
    <row r="80" spans="1:6" ht="15" customHeight="1">
      <c r="A80" s="169" t="s">
        <v>58</v>
      </c>
      <c r="B80" s="28">
        <f>'Αποσβέσεις-ΜΕΚ'!D90*Δεδομένα!B158</f>
        <v>276.47666666666663</v>
      </c>
      <c r="C80" s="28"/>
      <c r="D80" s="29">
        <f>+$B80</f>
        <v>276.47666666666663</v>
      </c>
      <c r="E80" s="29"/>
      <c r="F80" s="29">
        <f>+$B80</f>
        <v>276.47666666666663</v>
      </c>
    </row>
    <row r="81" spans="1:6" ht="15" customHeight="1">
      <c r="A81" s="169" t="s">
        <v>42</v>
      </c>
      <c r="B81" s="28">
        <f>'Αποσβέσεις-ΜΕΚ'!E90</f>
        <v>139.39999999999998</v>
      </c>
      <c r="C81" s="28"/>
      <c r="D81" s="29">
        <f>+$B81</f>
        <v>139.39999999999998</v>
      </c>
      <c r="E81" s="29">
        <f>+$B81</f>
        <v>139.39999999999998</v>
      </c>
      <c r="F81" s="29"/>
    </row>
    <row r="82" spans="1:6" ht="15" customHeight="1">
      <c r="A82" s="169" t="s">
        <v>59</v>
      </c>
      <c r="B82" s="28">
        <f>'Αποσβέσεις-ΜΕΚ'!F90</f>
        <v>7.082666666666666</v>
      </c>
      <c r="C82" s="28"/>
      <c r="D82" s="29">
        <f>+$B82</f>
        <v>7.082666666666666</v>
      </c>
      <c r="E82" s="29">
        <f>+$B82</f>
        <v>7.082666666666666</v>
      </c>
      <c r="F82" s="29"/>
    </row>
    <row r="83" spans="1:6" ht="15" customHeight="1">
      <c r="A83" s="170" t="s">
        <v>57</v>
      </c>
      <c r="B83" s="28">
        <f>(B81+B82)*Δεδομένα!B157/2</f>
        <v>3.515583999999999</v>
      </c>
      <c r="C83" s="28"/>
      <c r="D83" s="29">
        <f>+$B83</f>
        <v>3.515583999999999</v>
      </c>
      <c r="E83" s="29"/>
      <c r="F83" s="29">
        <f>+$B83</f>
        <v>3.515583999999999</v>
      </c>
    </row>
    <row r="84" spans="1:6" ht="15" customHeight="1">
      <c r="A84" s="171" t="s">
        <v>0</v>
      </c>
      <c r="B84" s="30">
        <f>SUM(B79:B83)</f>
        <v>1279.8082506666667</v>
      </c>
      <c r="C84" s="30">
        <f>SUM(C79:C83)</f>
        <v>0</v>
      </c>
      <c r="D84" s="30">
        <f>SUM(D79:D83)</f>
        <v>1279.8082506666667</v>
      </c>
      <c r="E84" s="30">
        <f>SUM(E79:E83)</f>
        <v>999.8159999999999</v>
      </c>
      <c r="F84" s="30">
        <f>SUM(F79:F83)</f>
        <v>279.9922506666666</v>
      </c>
    </row>
    <row r="85" spans="1:6" ht="15" customHeight="1">
      <c r="A85" s="172" t="s">
        <v>14</v>
      </c>
      <c r="B85" s="24"/>
      <c r="C85" s="24"/>
      <c r="D85" s="25"/>
      <c r="E85" s="25"/>
      <c r="F85" s="25"/>
    </row>
    <row r="86" spans="1:6" ht="15" customHeight="1">
      <c r="A86" s="169" t="s">
        <v>15</v>
      </c>
      <c r="B86" s="28">
        <f>Δεδομένα!D146</f>
        <v>1187.2</v>
      </c>
      <c r="C86" s="29">
        <f>+$B86</f>
        <v>1187.2</v>
      </c>
      <c r="D86" s="29"/>
      <c r="E86" s="29">
        <f>B86</f>
        <v>1187.2</v>
      </c>
      <c r="F86" s="29"/>
    </row>
    <row r="87" spans="1:6" ht="15" customHeight="1">
      <c r="A87" s="169" t="s">
        <v>235</v>
      </c>
      <c r="B87" s="28">
        <f>Δεδομένα!B133*Δεδομένα!B134*Δεδομένα!B161</f>
        <v>96</v>
      </c>
      <c r="C87" s="29">
        <f>+$B87</f>
        <v>96</v>
      </c>
      <c r="D87" s="29"/>
      <c r="E87" s="29">
        <f>+$B87</f>
        <v>96</v>
      </c>
      <c r="F87" s="29"/>
    </row>
    <row r="88" spans="1:6" ht="15" customHeight="1">
      <c r="A88" s="169" t="s">
        <v>80</v>
      </c>
      <c r="B88" s="28">
        <f>Δεδομένα!B149+Δεδομένα!B150</f>
        <v>580</v>
      </c>
      <c r="C88" s="29">
        <f>+$B88</f>
        <v>580</v>
      </c>
      <c r="D88" s="29"/>
      <c r="E88" s="29">
        <f>+$B88</f>
        <v>580</v>
      </c>
      <c r="F88" s="29"/>
    </row>
    <row r="89" spans="1:6" ht="15" customHeight="1">
      <c r="A89" s="169" t="s">
        <v>81</v>
      </c>
      <c r="B89" s="28">
        <f>Δεδομένα!B152</f>
        <v>45</v>
      </c>
      <c r="C89" s="29">
        <f>+$B89</f>
        <v>45</v>
      </c>
      <c r="D89" s="29"/>
      <c r="E89" s="29">
        <f>+$B89</f>
        <v>45</v>
      </c>
      <c r="F89" s="29"/>
    </row>
    <row r="90" spans="1:6" ht="15" customHeight="1">
      <c r="A90" s="169" t="s">
        <v>82</v>
      </c>
      <c r="B90" s="28">
        <f>(B86+B87+B88+B89)*Δεδομένα!B157/2</f>
        <v>45.796800000000005</v>
      </c>
      <c r="C90" s="29">
        <f>+$B90</f>
        <v>45.796800000000005</v>
      </c>
      <c r="D90" s="29"/>
      <c r="E90" s="175">
        <f>Δεδομένα!B155*Δεδομένα!B157/2</f>
        <v>14.4</v>
      </c>
      <c r="F90" s="175">
        <f>B90-E90</f>
        <v>31.396800000000006</v>
      </c>
    </row>
    <row r="91" spans="1:6" ht="15" customHeight="1">
      <c r="A91" s="171" t="s">
        <v>0</v>
      </c>
      <c r="B91" s="30">
        <f>SUM(B86:B90)</f>
        <v>1953.9968000000001</v>
      </c>
      <c r="C91" s="30">
        <f>SUM(C86:C90)</f>
        <v>1953.9968000000001</v>
      </c>
      <c r="D91" s="30">
        <f>SUM(D86:D90)</f>
        <v>0</v>
      </c>
      <c r="E91" s="30">
        <f>SUM(E86:E90)</f>
        <v>1922.6000000000001</v>
      </c>
      <c r="F91" s="30">
        <f>SUM(F86:F90)</f>
        <v>31.396800000000006</v>
      </c>
    </row>
    <row r="92" spans="1:6" ht="15" customHeight="1">
      <c r="A92" s="18" t="s">
        <v>45</v>
      </c>
      <c r="B92" s="30">
        <f>+B70+B76+B84+B91</f>
        <v>3956.685050666667</v>
      </c>
      <c r="C92" s="30">
        <f>+C70+C76+C84+C91</f>
        <v>1984.7168000000001</v>
      </c>
      <c r="D92" s="30">
        <f>+D70+D76+D84+D91</f>
        <v>1971.9682506666668</v>
      </c>
      <c r="E92" s="30">
        <f>+E70+E76+E84+E91</f>
        <v>3552.416</v>
      </c>
      <c r="F92" s="30">
        <f>+F70+F76+F84+F91</f>
        <v>404.2690506666666</v>
      </c>
    </row>
    <row r="93" spans="1:6" ht="15" customHeight="1">
      <c r="A93" s="18"/>
      <c r="B93" s="30"/>
      <c r="C93" s="30"/>
      <c r="D93" s="30"/>
      <c r="E93" s="30"/>
      <c r="F93" s="30"/>
    </row>
    <row r="94" spans="1:6" ht="15" customHeight="1">
      <c r="A94" s="18"/>
      <c r="B94" s="30"/>
      <c r="C94" s="30"/>
      <c r="D94" s="30"/>
      <c r="E94" s="30"/>
      <c r="F94" s="30"/>
    </row>
    <row r="95" spans="1:6" ht="15" customHeight="1">
      <c r="A95" s="18"/>
      <c r="B95" s="30"/>
      <c r="C95" s="30"/>
      <c r="D95" s="30"/>
      <c r="E95" s="30"/>
      <c r="F95" s="30"/>
    </row>
    <row r="97" spans="1:6" ht="15.75" customHeight="1">
      <c r="A97" s="211" t="s">
        <v>79</v>
      </c>
      <c r="B97" s="211"/>
      <c r="C97" s="211"/>
      <c r="D97" s="211"/>
      <c r="E97" s="211"/>
      <c r="F97" s="211"/>
    </row>
    <row r="99" spans="1:6" ht="29.25" customHeight="1">
      <c r="A99" s="21" t="s">
        <v>7</v>
      </c>
      <c r="B99" s="1" t="s">
        <v>1</v>
      </c>
      <c r="C99" s="2" t="s">
        <v>2</v>
      </c>
      <c r="D99" s="2" t="s">
        <v>3</v>
      </c>
      <c r="E99" s="2" t="s">
        <v>4</v>
      </c>
      <c r="F99" s="2" t="s">
        <v>16</v>
      </c>
    </row>
    <row r="100" spans="1:6" ht="15" customHeight="1">
      <c r="A100" s="210" t="s">
        <v>5</v>
      </c>
      <c r="B100" s="210"/>
      <c r="C100" s="210"/>
      <c r="D100" s="210"/>
      <c r="E100" s="210"/>
      <c r="F100" s="210"/>
    </row>
    <row r="101" spans="1:6" ht="15" customHeight="1">
      <c r="A101" s="167" t="s">
        <v>6</v>
      </c>
      <c r="B101" s="28">
        <f>B5+B38+B68</f>
        <v>2090</v>
      </c>
      <c r="C101" s="28"/>
      <c r="D101" s="29">
        <f>+$B101</f>
        <v>2090</v>
      </c>
      <c r="E101" s="29"/>
      <c r="F101" s="29">
        <f>+$B101</f>
        <v>2090</v>
      </c>
    </row>
    <row r="102" spans="1:6" ht="15" customHeight="1">
      <c r="A102" s="167" t="s">
        <v>8</v>
      </c>
      <c r="B102" s="28">
        <f>B6+B39+B69</f>
        <v>600</v>
      </c>
      <c r="C102" s="28"/>
      <c r="D102" s="29">
        <f>+$B102</f>
        <v>600</v>
      </c>
      <c r="E102" s="29">
        <f>+$B102</f>
        <v>600</v>
      </c>
      <c r="F102" s="29"/>
    </row>
    <row r="103" spans="1:8" ht="15" customHeight="1">
      <c r="A103" s="168" t="s">
        <v>0</v>
      </c>
      <c r="B103" s="30">
        <f>SUM(B101:B102)</f>
        <v>2690</v>
      </c>
      <c r="C103" s="30">
        <f>SUM(C101:C102)</f>
        <v>0</v>
      </c>
      <c r="D103" s="30">
        <f>SUM(D101:D102)</f>
        <v>2690</v>
      </c>
      <c r="E103" s="30">
        <f>SUM(E101:E102)</f>
        <v>600</v>
      </c>
      <c r="F103" s="30">
        <f>SUM(F101:F102)</f>
        <v>2090</v>
      </c>
      <c r="H103" s="48"/>
    </row>
    <row r="104" spans="1:6" ht="15" customHeight="1">
      <c r="A104" s="210" t="s">
        <v>9</v>
      </c>
      <c r="B104" s="210"/>
      <c r="C104" s="210"/>
      <c r="D104" s="210"/>
      <c r="E104" s="210"/>
      <c r="F104" s="210"/>
    </row>
    <row r="105" spans="1:6" ht="15" customHeight="1">
      <c r="A105" s="167" t="s">
        <v>10</v>
      </c>
      <c r="B105" s="28">
        <f>B9+B42+B72</f>
        <v>27990</v>
      </c>
      <c r="C105" s="31"/>
      <c r="D105" s="29">
        <f>+$B105</f>
        <v>27990</v>
      </c>
      <c r="E105" s="29"/>
      <c r="F105" s="29">
        <f>+$B105</f>
        <v>27990</v>
      </c>
    </row>
    <row r="106" spans="1:6" ht="15" customHeight="1">
      <c r="A106" s="167" t="s">
        <v>83</v>
      </c>
      <c r="B106" s="28">
        <f>B10+B43+B73</f>
        <v>1130</v>
      </c>
      <c r="C106" s="29">
        <f>+$B106</f>
        <v>1130</v>
      </c>
      <c r="D106" s="29"/>
      <c r="E106" s="29">
        <f>+$B106</f>
        <v>1130</v>
      </c>
      <c r="F106" s="29"/>
    </row>
    <row r="107" spans="1:6" ht="15" customHeight="1">
      <c r="A107" s="167" t="s">
        <v>229</v>
      </c>
      <c r="B107" s="28">
        <f>B11+B44+B74</f>
        <v>1524</v>
      </c>
      <c r="C107" s="29"/>
      <c r="D107" s="29">
        <f>B107</f>
        <v>1524</v>
      </c>
      <c r="E107" s="29">
        <f>B107</f>
        <v>1524</v>
      </c>
      <c r="F107" s="29"/>
    </row>
    <row r="108" spans="1:8" ht="15" customHeight="1">
      <c r="A108" s="167" t="s">
        <v>230</v>
      </c>
      <c r="B108" s="28">
        <f>B12+B45+B75</f>
        <v>898.779</v>
      </c>
      <c r="C108" s="29">
        <f>C12+C45+C75</f>
        <v>27.12</v>
      </c>
      <c r="D108" s="29">
        <f>D12+D45+D75</f>
        <v>871.659</v>
      </c>
      <c r="E108" s="29"/>
      <c r="F108" s="29">
        <f>B108</f>
        <v>898.779</v>
      </c>
      <c r="H108" s="48"/>
    </row>
    <row r="109" spans="1:8" ht="15" customHeight="1">
      <c r="A109" s="168" t="s">
        <v>0</v>
      </c>
      <c r="B109" s="30">
        <f>SUM(B105:B108)</f>
        <v>31542.779</v>
      </c>
      <c r="C109" s="30">
        <f>SUM(C105:C108)</f>
        <v>1157.12</v>
      </c>
      <c r="D109" s="30">
        <f>SUM(D105:D108)</f>
        <v>30385.659</v>
      </c>
      <c r="E109" s="30">
        <f>SUM(E105:E108)</f>
        <v>2654</v>
      </c>
      <c r="F109" s="30">
        <f>SUM(F105:F108)</f>
        <v>28888.779</v>
      </c>
      <c r="H109" s="48"/>
    </row>
    <row r="110" spans="1:6" ht="15" customHeight="1">
      <c r="A110" s="210" t="s">
        <v>11</v>
      </c>
      <c r="B110" s="210"/>
      <c r="C110" s="210"/>
      <c r="D110" s="210"/>
      <c r="E110" s="210"/>
      <c r="F110" s="210"/>
    </row>
    <row r="111" spans="1:6" ht="15" customHeight="1">
      <c r="A111" s="172" t="s">
        <v>12</v>
      </c>
      <c r="B111" s="22"/>
      <c r="C111" s="22"/>
      <c r="D111" s="23"/>
      <c r="E111" s="23"/>
      <c r="F111" s="23"/>
    </row>
    <row r="112" spans="1:6" ht="15" customHeight="1">
      <c r="A112" s="169" t="s">
        <v>13</v>
      </c>
      <c r="B112" s="28">
        <f>B16+B49+B79</f>
        <v>12407.866666666669</v>
      </c>
      <c r="C112" s="28"/>
      <c r="D112" s="29">
        <f>+$B112</f>
        <v>12407.866666666669</v>
      </c>
      <c r="E112" s="29">
        <f>+$B112</f>
        <v>12407.866666666669</v>
      </c>
      <c r="F112" s="29"/>
    </row>
    <row r="113" spans="1:6" ht="15" customHeight="1">
      <c r="A113" s="169" t="s">
        <v>58</v>
      </c>
      <c r="B113" s="28">
        <f>B17+B50+B80</f>
        <v>13194.366966666666</v>
      </c>
      <c r="C113" s="28"/>
      <c r="D113" s="29">
        <f>+$B113</f>
        <v>13194.366966666666</v>
      </c>
      <c r="E113" s="29"/>
      <c r="F113" s="29">
        <f>+$B113</f>
        <v>13194.366966666666</v>
      </c>
    </row>
    <row r="114" spans="1:6" ht="15" customHeight="1">
      <c r="A114" s="169" t="s">
        <v>42</v>
      </c>
      <c r="B114" s="28">
        <f>B18+B51+B81</f>
        <v>1916.6239999999998</v>
      </c>
      <c r="C114" s="28"/>
      <c r="D114" s="29">
        <f>+$B114</f>
        <v>1916.6239999999998</v>
      </c>
      <c r="E114" s="29">
        <f>+$B114</f>
        <v>1916.6239999999998</v>
      </c>
      <c r="F114" s="29"/>
    </row>
    <row r="115" spans="1:6" ht="15" customHeight="1">
      <c r="A115" s="169" t="s">
        <v>59</v>
      </c>
      <c r="B115" s="28">
        <f>B19+B52+B82</f>
        <v>948.9865866666667</v>
      </c>
      <c r="C115" s="28"/>
      <c r="D115" s="29">
        <f>+$B115</f>
        <v>948.9865866666667</v>
      </c>
      <c r="E115" s="29">
        <f>+$B115</f>
        <v>948.9865866666667</v>
      </c>
      <c r="F115" s="29"/>
    </row>
    <row r="116" spans="1:6" ht="15" customHeight="1">
      <c r="A116" s="170" t="s">
        <v>57</v>
      </c>
      <c r="B116" s="28">
        <f>B20+B53+B83</f>
        <v>68.77465408</v>
      </c>
      <c r="C116" s="28"/>
      <c r="D116" s="29">
        <f>+$B116</f>
        <v>68.77465408</v>
      </c>
      <c r="E116" s="29"/>
      <c r="F116" s="29">
        <f>+$B116</f>
        <v>68.77465408</v>
      </c>
    </row>
    <row r="117" spans="1:8" ht="15" customHeight="1">
      <c r="A117" s="171" t="s">
        <v>0</v>
      </c>
      <c r="B117" s="30">
        <f>SUM(B112:B116)</f>
        <v>28536.618874080003</v>
      </c>
      <c r="C117" s="30">
        <f>SUM(C112:C116)</f>
        <v>0</v>
      </c>
      <c r="D117" s="30">
        <f>SUM(D112:D116)</f>
        <v>28536.618874080003</v>
      </c>
      <c r="E117" s="30">
        <f>SUM(E112:E116)</f>
        <v>15273.477253333334</v>
      </c>
      <c r="F117" s="30">
        <f>SUM(F112:F116)</f>
        <v>13263.141620746666</v>
      </c>
      <c r="H117" s="48"/>
    </row>
    <row r="118" spans="1:6" ht="15" customHeight="1">
      <c r="A118" s="172" t="s">
        <v>14</v>
      </c>
      <c r="B118" s="24"/>
      <c r="C118" s="24"/>
      <c r="D118" s="25"/>
      <c r="E118" s="25"/>
      <c r="F118" s="25"/>
    </row>
    <row r="119" spans="1:6" ht="15" customHeight="1">
      <c r="A119" s="169" t="s">
        <v>15</v>
      </c>
      <c r="B119" s="174">
        <f>(B23-F23)+B56+B86</f>
        <v>54122.799999999996</v>
      </c>
      <c r="C119" s="29">
        <f>+$B119</f>
        <v>54122.799999999996</v>
      </c>
      <c r="D119" s="29"/>
      <c r="E119" s="29">
        <f>B119</f>
        <v>54122.799999999996</v>
      </c>
      <c r="F119" s="29"/>
    </row>
    <row r="120" spans="1:6" ht="15" customHeight="1">
      <c r="A120" s="169" t="s">
        <v>249</v>
      </c>
      <c r="B120" s="28">
        <f>B24+B57+B87</f>
        <v>713.5000000000001</v>
      </c>
      <c r="C120" s="29">
        <f>+$B120</f>
        <v>713.5000000000001</v>
      </c>
      <c r="D120" s="29"/>
      <c r="E120" s="29">
        <f>+$B120</f>
        <v>713.5000000000001</v>
      </c>
      <c r="F120" s="29"/>
    </row>
    <row r="121" spans="1:6" ht="15" customHeight="1">
      <c r="A121" s="169" t="s">
        <v>80</v>
      </c>
      <c r="B121" s="28">
        <f>B25+B58+B88</f>
        <v>10450</v>
      </c>
      <c r="C121" s="29">
        <f>+$B121</f>
        <v>10450</v>
      </c>
      <c r="D121" s="29"/>
      <c r="E121" s="29">
        <f>+$B121</f>
        <v>10450</v>
      </c>
      <c r="F121" s="29"/>
    </row>
    <row r="122" spans="1:6" ht="15" customHeight="1">
      <c r="A122" s="169" t="s">
        <v>81</v>
      </c>
      <c r="B122" s="28">
        <f>B26+B59+B89</f>
        <v>275</v>
      </c>
      <c r="C122" s="29">
        <f>+$B122</f>
        <v>275</v>
      </c>
      <c r="D122" s="29"/>
      <c r="E122" s="29">
        <f>+$B122</f>
        <v>275</v>
      </c>
      <c r="F122" s="29"/>
    </row>
    <row r="123" spans="1:8" ht="15" customHeight="1">
      <c r="A123" s="169" t="s">
        <v>82</v>
      </c>
      <c r="B123" s="174">
        <f>(B119+B120+B121+B122)*Δεδομένα!B60/2</f>
        <v>1573.4711999999997</v>
      </c>
      <c r="C123" s="29">
        <f>+$B123</f>
        <v>1573.4711999999997</v>
      </c>
      <c r="D123" s="29"/>
      <c r="E123" s="29">
        <f>E27+E60+E90</f>
        <v>14.4</v>
      </c>
      <c r="F123" s="29">
        <f>B123-E123</f>
        <v>1559.0711999999996</v>
      </c>
      <c r="H123" s="48"/>
    </row>
    <row r="124" spans="1:8" ht="15" customHeight="1">
      <c r="A124" s="171" t="s">
        <v>0</v>
      </c>
      <c r="B124" s="30">
        <f>SUM(B119:B123)</f>
        <v>67134.77119999999</v>
      </c>
      <c r="C124" s="30">
        <f>SUM(C119:C123)</f>
        <v>67134.77119999999</v>
      </c>
      <c r="D124" s="30">
        <f>SUM(D119:D123)</f>
        <v>0</v>
      </c>
      <c r="E124" s="30">
        <f>SUM(E119:E123)</f>
        <v>65575.69999999998</v>
      </c>
      <c r="F124" s="30">
        <f>SUM(F119:F123)</f>
        <v>1559.0711999999996</v>
      </c>
      <c r="H124" s="48"/>
    </row>
    <row r="125" spans="1:9" ht="15" customHeight="1">
      <c r="A125" s="18" t="s">
        <v>45</v>
      </c>
      <c r="B125" s="30">
        <f>+B103+B109+B117+B124</f>
        <v>129904.16907407998</v>
      </c>
      <c r="C125" s="30">
        <f>+C103+C109+C117+C124</f>
        <v>68291.89119999998</v>
      </c>
      <c r="D125" s="30">
        <f>+D103+D109+D117+D124</f>
        <v>61612.27787408</v>
      </c>
      <c r="E125" s="30">
        <f>+E103+E109+E117+E124</f>
        <v>84103.17725333331</v>
      </c>
      <c r="F125" s="30">
        <f>+F103+F109+F117+F124</f>
        <v>45800.99182074666</v>
      </c>
      <c r="H125" s="173"/>
      <c r="I125" s="48"/>
    </row>
    <row r="127" spans="2:8" ht="15" customHeight="1">
      <c r="B127" s="48"/>
      <c r="C127" s="48"/>
      <c r="D127" s="48"/>
      <c r="E127" s="48"/>
      <c r="F127" s="48"/>
      <c r="G127" s="48"/>
      <c r="H127" s="48"/>
    </row>
    <row r="128" spans="2:8" ht="15" customHeight="1">
      <c r="B128" s="48"/>
      <c r="C128" s="48"/>
      <c r="D128" s="48"/>
      <c r="E128" s="48"/>
      <c r="F128" s="48"/>
      <c r="G128" s="48"/>
      <c r="H128" s="48"/>
    </row>
    <row r="129" spans="2:7" ht="15" customHeight="1">
      <c r="B129" s="48"/>
      <c r="C129" s="48"/>
      <c r="D129" s="48"/>
      <c r="E129" s="48"/>
      <c r="F129" s="48"/>
      <c r="G129" s="48"/>
    </row>
    <row r="131" ht="15" customHeight="1">
      <c r="B131" s="48"/>
    </row>
    <row r="132" ht="15" customHeight="1">
      <c r="B132" s="48"/>
    </row>
    <row r="133" ht="15" customHeight="1">
      <c r="B133" s="48"/>
    </row>
    <row r="134" ht="15" customHeight="1">
      <c r="B134" s="48"/>
    </row>
  </sheetData>
  <sheetProtection/>
  <mergeCells count="16">
    <mergeCell ref="A47:F47"/>
    <mergeCell ref="A64:F64"/>
    <mergeCell ref="A1:F1"/>
    <mergeCell ref="A14:F14"/>
    <mergeCell ref="A8:F8"/>
    <mergeCell ref="A4:F4"/>
    <mergeCell ref="A67:F67"/>
    <mergeCell ref="A71:F71"/>
    <mergeCell ref="A110:F110"/>
    <mergeCell ref="A34:F34"/>
    <mergeCell ref="A37:F37"/>
    <mergeCell ref="A41:F41"/>
    <mergeCell ref="A77:F77"/>
    <mergeCell ref="A97:F97"/>
    <mergeCell ref="A100:F100"/>
    <mergeCell ref="A104:F10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0.375" style="0" customWidth="1"/>
    <col min="2" max="2" width="12.625" style="0" customWidth="1"/>
    <col min="3" max="3" width="20.125" style="0" customWidth="1"/>
    <col min="4" max="4" width="10.00390625" style="0" customWidth="1"/>
    <col min="5" max="5" width="20.25390625" style="0" customWidth="1"/>
    <col min="6" max="6" width="13.375" style="0" customWidth="1"/>
    <col min="7" max="7" width="22.75390625" style="0" customWidth="1"/>
  </cols>
  <sheetData>
    <row r="4" spans="1:7" ht="38.25" customHeight="1">
      <c r="A4" s="212" t="s">
        <v>242</v>
      </c>
      <c r="B4" s="213"/>
      <c r="C4" s="214" t="s">
        <v>243</v>
      </c>
      <c r="D4" s="214"/>
      <c r="E4" s="214" t="s">
        <v>244</v>
      </c>
      <c r="F4" s="214"/>
      <c r="G4" s="215" t="s">
        <v>241</v>
      </c>
    </row>
    <row r="5" spans="1:7" ht="12.75">
      <c r="A5" s="84" t="s">
        <v>129</v>
      </c>
      <c r="B5" s="85">
        <f>Δεδομένα!B4*Δεδομένα!B5*Δεδομένα!B6</f>
        <v>110500.00000000001</v>
      </c>
      <c r="C5" s="91" t="s">
        <v>237</v>
      </c>
      <c r="D5" s="85">
        <f>Δεδομένα!B102*0.18</f>
        <v>14850</v>
      </c>
      <c r="E5" s="91" t="s">
        <v>239</v>
      </c>
      <c r="F5" s="85">
        <f>Δεδομένα!B133*Δεδομένα!B134</f>
        <v>3200</v>
      </c>
      <c r="G5" s="215"/>
    </row>
    <row r="6" spans="1:7" ht="12.75">
      <c r="A6" s="84" t="s">
        <v>131</v>
      </c>
      <c r="B6" s="85">
        <f>Δεδομένα!B7*Δεδομένα!B8</f>
        <v>8000</v>
      </c>
      <c r="C6" s="91"/>
      <c r="D6" s="85"/>
      <c r="E6" s="91"/>
      <c r="F6" s="85"/>
      <c r="G6" s="215"/>
    </row>
    <row r="7" spans="1:7" ht="25.5">
      <c r="A7" s="84" t="s">
        <v>133</v>
      </c>
      <c r="B7" s="85">
        <f>Δεδομένα!B11*Δεδομένα!B12</f>
        <v>5000</v>
      </c>
      <c r="C7" s="91"/>
      <c r="D7" s="85"/>
      <c r="E7" s="91"/>
      <c r="F7" s="85"/>
      <c r="G7" s="215"/>
    </row>
    <row r="8" spans="1:7" ht="28.5" customHeight="1">
      <c r="A8" s="93" t="s">
        <v>236</v>
      </c>
      <c r="B8" s="85">
        <f>SUM(B5:B7)</f>
        <v>123500.00000000001</v>
      </c>
      <c r="C8" s="93" t="s">
        <v>238</v>
      </c>
      <c r="D8" s="180">
        <f>SUM(D5:D7)</f>
        <v>14850</v>
      </c>
      <c r="E8" s="93" t="s">
        <v>240</v>
      </c>
      <c r="F8" s="85">
        <f>SUM(F5:F7)</f>
        <v>3200</v>
      </c>
      <c r="G8" s="176">
        <f>B8+F8</f>
        <v>126700.00000000001</v>
      </c>
    </row>
  </sheetData>
  <sheetProtection/>
  <mergeCells count="4">
    <mergeCell ref="A4:B4"/>
    <mergeCell ref="C4:D4"/>
    <mergeCell ref="E4:F4"/>
    <mergeCell ref="G4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58" sqref="G58"/>
    </sheetView>
  </sheetViews>
  <sheetFormatPr defaultColWidth="9.00390625" defaultRowHeight="15" customHeight="1"/>
  <cols>
    <col min="1" max="1" width="40.00390625" style="0" customWidth="1"/>
    <col min="2" max="2" width="50.25390625" style="0" customWidth="1"/>
    <col min="3" max="3" width="18.00390625" style="0" customWidth="1"/>
    <col min="4" max="4" width="10.00390625" style="0" customWidth="1"/>
    <col min="5" max="5" width="11.625" style="0" bestFit="1" customWidth="1"/>
    <col min="7" max="8" width="9.25390625" style="0" bestFit="1" customWidth="1"/>
  </cols>
  <sheetData>
    <row r="1" spans="1:3" ht="15" customHeight="1">
      <c r="A1" s="61"/>
      <c r="B1" s="61"/>
      <c r="C1" s="61"/>
    </row>
    <row r="2" spans="1:3" s="32" customFormat="1" ht="15" customHeight="1">
      <c r="A2" s="49" t="s">
        <v>246</v>
      </c>
      <c r="B2" s="50" t="s">
        <v>84</v>
      </c>
      <c r="C2" s="51">
        <f>(Δαπάνες!B29-Δεδομένα!B74-Δεδομένα!B75)/(Δεδομένα!B4*Δεδομένα!B5)</f>
        <v>0.3466860868371693</v>
      </c>
    </row>
    <row r="3" spans="1:4" s="32" customFormat="1" ht="15" customHeight="1">
      <c r="A3"/>
      <c r="B3"/>
      <c r="C3"/>
      <c r="D3" s="33"/>
    </row>
    <row r="4" spans="1:4" s="32" customFormat="1" ht="15" customHeight="1" thickBot="1">
      <c r="A4" s="216" t="s">
        <v>245</v>
      </c>
      <c r="B4" s="216"/>
      <c r="C4" s="216"/>
      <c r="D4" s="33"/>
    </row>
    <row r="5" spans="1:4" s="32" customFormat="1" ht="15" customHeight="1" thickTop="1">
      <c r="A5" s="52" t="s">
        <v>39</v>
      </c>
      <c r="B5" s="53" t="s">
        <v>40</v>
      </c>
      <c r="C5" s="54" t="s">
        <v>41</v>
      </c>
      <c r="D5" s="33"/>
    </row>
    <row r="6" spans="1:4" s="32" customFormat="1" ht="15" customHeight="1">
      <c r="A6" s="55" t="s">
        <v>22</v>
      </c>
      <c r="B6" s="56" t="s">
        <v>23</v>
      </c>
      <c r="C6" s="177">
        <f>'Ακαθαρ. Πρόσοδος'!B8</f>
        <v>123500.00000000001</v>
      </c>
      <c r="D6" s="33"/>
    </row>
    <row r="7" spans="1:4" s="32" customFormat="1" ht="15" customHeight="1">
      <c r="A7" s="55" t="s">
        <v>24</v>
      </c>
      <c r="B7" s="57" t="s">
        <v>25</v>
      </c>
      <c r="C7" s="177">
        <f>C6-Δαπάνες!B29</f>
        <v>-2172.978222079997</v>
      </c>
      <c r="D7" s="33"/>
    </row>
    <row r="8" spans="1:3" s="32" customFormat="1" ht="15" customHeight="1">
      <c r="A8" s="55" t="s">
        <v>26</v>
      </c>
      <c r="B8" s="57" t="s">
        <v>27</v>
      </c>
      <c r="C8" s="177">
        <f>C6-Δαπάνες!C29</f>
        <v>50337.76000000001</v>
      </c>
    </row>
    <row r="9" spans="1:4" s="32" customFormat="1" ht="15" customHeight="1">
      <c r="A9" s="55" t="s">
        <v>85</v>
      </c>
      <c r="B9" s="57" t="s">
        <v>28</v>
      </c>
      <c r="C9" s="177">
        <f>C6-Δαπάνες!E29</f>
        <v>56032.27908000002</v>
      </c>
      <c r="D9" s="33"/>
    </row>
    <row r="10" spans="1:3" s="32" customFormat="1" ht="15" customHeight="1">
      <c r="A10" s="55" t="s">
        <v>86</v>
      </c>
      <c r="B10" s="57" t="s">
        <v>29</v>
      </c>
      <c r="C10" s="177">
        <f>C7+Δαπάνες!B7+Δαπάνες!B12+Δαπάνες!B17+Δαπάνες!B20+Δαπάνες!B27</f>
        <v>12652.279080000002</v>
      </c>
    </row>
    <row r="11" spans="1:3" s="32" customFormat="1" ht="15" customHeight="1">
      <c r="A11" s="55" t="s">
        <v>87</v>
      </c>
      <c r="B11" s="57" t="s">
        <v>30</v>
      </c>
      <c r="C11" s="62">
        <f>C10/'Αποσβέσεις-ΜΕΚ'!B33</f>
        <v>0.061124365339017286</v>
      </c>
    </row>
    <row r="12" spans="1:4" s="32" customFormat="1" ht="15" customHeight="1">
      <c r="A12" s="55" t="s">
        <v>31</v>
      </c>
      <c r="B12" s="58" t="s">
        <v>32</v>
      </c>
      <c r="C12" s="177">
        <f>C10</f>
        <v>12652.279080000002</v>
      </c>
      <c r="D12" s="33"/>
    </row>
    <row r="13" spans="1:3" ht="15" customHeight="1">
      <c r="A13" s="55" t="s">
        <v>33</v>
      </c>
      <c r="B13" s="57" t="s">
        <v>34</v>
      </c>
      <c r="C13" s="62">
        <f>C11</f>
        <v>0.061124365339017286</v>
      </c>
    </row>
    <row r="14" spans="1:3" ht="15" customHeight="1">
      <c r="A14" s="55" t="s">
        <v>35</v>
      </c>
      <c r="B14" s="57" t="s">
        <v>36</v>
      </c>
      <c r="C14" s="177">
        <f>C7+Δαπάνες!B7</f>
        <v>-2082.978222079997</v>
      </c>
    </row>
    <row r="15" spans="1:3" ht="15" customHeight="1" thickBot="1">
      <c r="A15" s="59" t="s">
        <v>37</v>
      </c>
      <c r="B15" s="60" t="s">
        <v>38</v>
      </c>
      <c r="C15" s="178">
        <f>C7+Δαπάνες!B13</f>
        <v>27076.040777920003</v>
      </c>
    </row>
    <row r="16" ht="15" customHeight="1" thickTop="1"/>
    <row r="19" spans="1:3" ht="30.75" customHeight="1">
      <c r="A19" s="63" t="s">
        <v>89</v>
      </c>
      <c r="B19" s="50" t="s">
        <v>84</v>
      </c>
      <c r="C19" s="51">
        <f>Δαπάνες!B62/Δεδομένα!B102</f>
        <v>0.20812734304646463</v>
      </c>
    </row>
    <row r="21" spans="1:3" ht="15" customHeight="1" thickBot="1">
      <c r="A21" s="216" t="s">
        <v>88</v>
      </c>
      <c r="B21" s="216"/>
      <c r="C21" s="216"/>
    </row>
    <row r="22" spans="1:3" ht="15" customHeight="1" thickTop="1">
      <c r="A22" s="52" t="s">
        <v>39</v>
      </c>
      <c r="B22" s="53" t="s">
        <v>40</v>
      </c>
      <c r="C22" s="54" t="s">
        <v>41</v>
      </c>
    </row>
    <row r="23" spans="1:3" ht="15" customHeight="1">
      <c r="A23" s="55" t="s">
        <v>22</v>
      </c>
      <c r="B23" s="56" t="s">
        <v>23</v>
      </c>
      <c r="C23" s="177">
        <f>'Ακαθαρ. Πρόσοδος'!D8</f>
        <v>14850</v>
      </c>
    </row>
    <row r="24" spans="1:3" ht="15" customHeight="1">
      <c r="A24" s="55" t="s">
        <v>24</v>
      </c>
      <c r="B24" s="57" t="s">
        <v>25</v>
      </c>
      <c r="C24" s="177">
        <f>C23-Δαπάνες!B62</f>
        <v>-2320.505801333333</v>
      </c>
    </row>
    <row r="25" spans="1:3" ht="15" customHeight="1">
      <c r="A25" s="55" t="s">
        <v>26</v>
      </c>
      <c r="B25" s="57" t="s">
        <v>27</v>
      </c>
      <c r="C25" s="177">
        <f>C23-Δαπάνες!C62</f>
        <v>4809.0656</v>
      </c>
    </row>
    <row r="26" spans="1:3" ht="15" customHeight="1">
      <c r="A26" s="55" t="s">
        <v>85</v>
      </c>
      <c r="B26" s="57" t="s">
        <v>28</v>
      </c>
      <c r="C26" s="177">
        <f>C23-Δαπάνες!E62</f>
        <v>1766.9596666666657</v>
      </c>
    </row>
    <row r="27" spans="1:3" ht="15" customHeight="1">
      <c r="A27" s="55" t="s">
        <v>86</v>
      </c>
      <c r="B27" s="57" t="s">
        <v>29</v>
      </c>
      <c r="C27" s="177">
        <f>C24+Δαπάνες!B40+Δαπάνες!B45+Δαπάνες!B50+Δαπάνες!B53+Δαπάνες!B60</f>
        <v>746.9596666666671</v>
      </c>
    </row>
    <row r="28" spans="1:3" ht="15" customHeight="1">
      <c r="A28" s="55" t="s">
        <v>87</v>
      </c>
      <c r="B28" s="57" t="s">
        <v>30</v>
      </c>
      <c r="C28" s="62">
        <f>C27/'Αποσβέσεις-ΜΕΚ'!C76</f>
        <v>0.013984080626540617</v>
      </c>
    </row>
    <row r="29" spans="1:3" ht="15" customHeight="1">
      <c r="A29" s="55" t="s">
        <v>31</v>
      </c>
      <c r="B29" s="58" t="s">
        <v>32</v>
      </c>
      <c r="C29" s="177">
        <f>C27</f>
        <v>746.9596666666671</v>
      </c>
    </row>
    <row r="30" spans="1:3" ht="15" customHeight="1">
      <c r="A30" s="55" t="s">
        <v>33</v>
      </c>
      <c r="B30" s="57" t="s">
        <v>34</v>
      </c>
      <c r="C30" s="62">
        <f>C29/'Αποσβέσεις-ΜΕΚ'!C76</f>
        <v>0.013984080626540617</v>
      </c>
    </row>
    <row r="31" spans="1:3" ht="15" customHeight="1">
      <c r="A31" s="55" t="s">
        <v>35</v>
      </c>
      <c r="B31" s="57" t="s">
        <v>36</v>
      </c>
      <c r="C31" s="177">
        <f>C24+Δαπάνες!B40</f>
        <v>-320.5058013333328</v>
      </c>
    </row>
    <row r="32" spans="1:3" ht="15" customHeight="1" thickBot="1">
      <c r="A32" s="59" t="s">
        <v>37</v>
      </c>
      <c r="B32" s="60" t="s">
        <v>38</v>
      </c>
      <c r="C32" s="178">
        <f>C24+Δαπάνες!B46</f>
        <v>-149.62580133333267</v>
      </c>
    </row>
    <row r="33" ht="15" customHeight="1" thickTop="1"/>
    <row r="36" spans="1:3" ht="26.25" customHeight="1">
      <c r="A36" s="63" t="s">
        <v>247</v>
      </c>
      <c r="B36" s="50" t="s">
        <v>84</v>
      </c>
      <c r="C36" s="51">
        <f>Δαπάνες!B92/Δεδομένα!B133</f>
        <v>0.2472928156666667</v>
      </c>
    </row>
    <row r="38" spans="1:3" ht="15" customHeight="1" thickBot="1">
      <c r="A38" s="216" t="s">
        <v>248</v>
      </c>
      <c r="B38" s="216"/>
      <c r="C38" s="216"/>
    </row>
    <row r="39" spans="1:3" ht="15" customHeight="1" thickTop="1">
      <c r="A39" s="52" t="s">
        <v>39</v>
      </c>
      <c r="B39" s="53" t="s">
        <v>40</v>
      </c>
      <c r="C39" s="54" t="s">
        <v>41</v>
      </c>
    </row>
    <row r="40" spans="1:3" ht="15" customHeight="1">
      <c r="A40" s="55" t="s">
        <v>22</v>
      </c>
      <c r="B40" s="56" t="s">
        <v>23</v>
      </c>
      <c r="C40" s="177">
        <f>'Ακαθαρ. Πρόσοδος'!F8</f>
        <v>3200</v>
      </c>
    </row>
    <row r="41" spans="1:3" ht="15" customHeight="1">
      <c r="A41" s="55" t="s">
        <v>24</v>
      </c>
      <c r="B41" s="57" t="s">
        <v>25</v>
      </c>
      <c r="C41" s="177">
        <f>C40-Δαπάνες!B92</f>
        <v>-756.6850506666669</v>
      </c>
    </row>
    <row r="42" spans="1:3" ht="15" customHeight="1">
      <c r="A42" s="55" t="s">
        <v>26</v>
      </c>
      <c r="B42" s="57" t="s">
        <v>27</v>
      </c>
      <c r="C42" s="177">
        <f>C40-Δαπάνες!C92</f>
        <v>1215.2831999999999</v>
      </c>
    </row>
    <row r="43" spans="1:3" ht="15" customHeight="1">
      <c r="A43" s="55" t="s">
        <v>85</v>
      </c>
      <c r="B43" s="57" t="s">
        <v>28</v>
      </c>
      <c r="C43" s="177">
        <f>C40-Δαπάνες!E92</f>
        <v>-352.41600000000017</v>
      </c>
    </row>
    <row r="44" spans="1:3" ht="15" customHeight="1">
      <c r="A44" s="55" t="s">
        <v>86</v>
      </c>
      <c r="B44" s="57" t="s">
        <v>29</v>
      </c>
      <c r="C44" s="177">
        <f>C41+Δαπάνες!B70+Δαπάνες!B75+Δαπάνες!B80+Δαπάνες!B83+Δαπάνες!B90</f>
        <v>171.9839999999997</v>
      </c>
    </row>
    <row r="45" spans="1:3" ht="15" customHeight="1">
      <c r="A45" s="55" t="s">
        <v>87</v>
      </c>
      <c r="B45" s="57" t="s">
        <v>30</v>
      </c>
      <c r="C45" s="62">
        <f>C44/'Αποσβέσεις-ΜΕΚ'!C95</f>
        <v>0.006454240680510372</v>
      </c>
    </row>
    <row r="46" spans="1:3" ht="15" customHeight="1">
      <c r="A46" s="55" t="s">
        <v>31</v>
      </c>
      <c r="B46" s="58" t="s">
        <v>32</v>
      </c>
      <c r="C46" s="177">
        <f>C41+Δαπάνες!F75+Δαπάνες!F80+Δαπάνες!F83+Δαπάνες!F90</f>
        <v>-442.41600000000034</v>
      </c>
    </row>
    <row r="47" spans="1:3" ht="15" customHeight="1">
      <c r="A47" s="55" t="s">
        <v>33</v>
      </c>
      <c r="B47" s="57" t="s">
        <v>34</v>
      </c>
      <c r="C47" s="62">
        <f>C46/'Αποσβέσεις-ΜΕΚ'!C98</f>
        <v>-0.09521147776183653</v>
      </c>
    </row>
    <row r="48" spans="1:3" ht="15" customHeight="1">
      <c r="A48" s="55" t="s">
        <v>35</v>
      </c>
      <c r="B48" s="57" t="s">
        <v>36</v>
      </c>
      <c r="C48" s="177">
        <f>C41+Δαπάνες!B70</f>
        <v>-156.68505066666694</v>
      </c>
    </row>
    <row r="49" spans="1:3" ht="15" customHeight="1" thickBot="1">
      <c r="A49" s="59" t="s">
        <v>37</v>
      </c>
      <c r="B49" s="60" t="s">
        <v>38</v>
      </c>
      <c r="C49" s="178">
        <f>C41+Δαπάνες!B76</f>
        <v>-633.805050666667</v>
      </c>
    </row>
    <row r="50" ht="15" customHeight="1" thickTop="1"/>
    <row r="53" spans="1:3" ht="15" customHeight="1" thickBot="1">
      <c r="A53" s="216" t="s">
        <v>90</v>
      </c>
      <c r="B53" s="216"/>
      <c r="C53" s="216"/>
    </row>
    <row r="54" spans="1:8" ht="15" customHeight="1" thickTop="1">
      <c r="A54" s="52" t="s">
        <v>39</v>
      </c>
      <c r="B54" s="53" t="s">
        <v>40</v>
      </c>
      <c r="C54" s="54" t="s">
        <v>41</v>
      </c>
      <c r="H54" s="179"/>
    </row>
    <row r="55" spans="1:5" ht="15" customHeight="1">
      <c r="A55" s="55" t="s">
        <v>22</v>
      </c>
      <c r="B55" s="56" t="s">
        <v>23</v>
      </c>
      <c r="C55" s="177">
        <f>'Ακαθαρ. Πρόσοδος'!G8</f>
        <v>126700.00000000001</v>
      </c>
      <c r="D55" s="179"/>
      <c r="E55" s="179"/>
    </row>
    <row r="56" spans="1:8" ht="15" customHeight="1">
      <c r="A56" s="55" t="s">
        <v>24</v>
      </c>
      <c r="B56" s="57" t="s">
        <v>25</v>
      </c>
      <c r="C56" s="177">
        <f>C55-Δαπάνες!B125</f>
        <v>-3204.1690740799677</v>
      </c>
      <c r="D56" s="179"/>
      <c r="E56" s="179"/>
      <c r="F56" s="179"/>
      <c r="H56" s="179"/>
    </row>
    <row r="57" spans="1:6" ht="15" customHeight="1">
      <c r="A57" s="55" t="s">
        <v>26</v>
      </c>
      <c r="B57" s="57" t="s">
        <v>27</v>
      </c>
      <c r="C57" s="177">
        <f>C55-Δαπάνες!C125</f>
        <v>58408.10880000003</v>
      </c>
      <c r="D57" s="179"/>
      <c r="E57" s="179"/>
      <c r="F57" s="179"/>
    </row>
    <row r="58" spans="1:7" ht="15" customHeight="1">
      <c r="A58" s="55" t="s">
        <v>85</v>
      </c>
      <c r="B58" s="57" t="s">
        <v>28</v>
      </c>
      <c r="C58" s="177">
        <f>C55-Δαπάνες!E125</f>
        <v>42596.8227466667</v>
      </c>
      <c r="D58" s="179"/>
      <c r="E58" s="179"/>
      <c r="G58" s="179"/>
    </row>
    <row r="59" spans="1:5" ht="15" customHeight="1">
      <c r="A59" s="55" t="s">
        <v>86</v>
      </c>
      <c r="B59" s="57" t="s">
        <v>29</v>
      </c>
      <c r="C59" s="177">
        <f>C56+Δαπάνες!B103+Δαπάνες!B108+Δαπάνες!B113+Δαπάνες!B116+Δαπάνες!B123</f>
        <v>15221.2227466667</v>
      </c>
      <c r="D59" s="179"/>
      <c r="E59" s="179"/>
    </row>
    <row r="60" spans="1:5" ht="15" customHeight="1">
      <c r="A60" s="55" t="s">
        <v>87</v>
      </c>
      <c r="B60" s="57" t="s">
        <v>30</v>
      </c>
      <c r="C60" s="62">
        <f>C59/'Αποσβέσεις-ΜΕΚ'!B102</f>
        <v>0.05302563006132886</v>
      </c>
      <c r="D60" s="179"/>
      <c r="E60" s="179"/>
    </row>
    <row r="61" spans="1:5" ht="15" customHeight="1">
      <c r="A61" s="55" t="s">
        <v>31</v>
      </c>
      <c r="B61" s="58" t="s">
        <v>32</v>
      </c>
      <c r="C61" s="177">
        <f>C56+Δαπάνες!F101+Δαπάνες!F108+Δαπάνες!F113+Δαπάνες!F116+Δαπάνες!F123</f>
        <v>14606.8227466667</v>
      </c>
      <c r="D61" s="179"/>
      <c r="E61" s="179"/>
    </row>
    <row r="62" spans="1:5" ht="15" customHeight="1">
      <c r="A62" s="55" t="s">
        <v>33</v>
      </c>
      <c r="B62" s="57" t="s">
        <v>34</v>
      </c>
      <c r="C62" s="62">
        <f>C61/'Αποσβέσεις-ΜΕΚ'!B105</f>
        <v>0.05510884224627391</v>
      </c>
      <c r="D62" s="179"/>
      <c r="E62" s="179"/>
    </row>
    <row r="63" spans="1:5" ht="15" customHeight="1">
      <c r="A63" s="55" t="s">
        <v>35</v>
      </c>
      <c r="B63" s="57" t="s">
        <v>36</v>
      </c>
      <c r="C63" s="177">
        <f>C56+Δαπάνες!B103</f>
        <v>-514.1690740799677</v>
      </c>
      <c r="D63" s="179"/>
      <c r="E63" s="179"/>
    </row>
    <row r="64" spans="1:5" ht="15" customHeight="1" thickBot="1">
      <c r="A64" s="59" t="s">
        <v>37</v>
      </c>
      <c r="B64" s="60" t="s">
        <v>38</v>
      </c>
      <c r="C64" s="178">
        <f>C56+Δαπάνες!B109</f>
        <v>28338.60992592003</v>
      </c>
      <c r="D64" s="179"/>
      <c r="E64" s="179"/>
    </row>
    <row r="65" ht="15" customHeight="1" thickTop="1"/>
  </sheetData>
  <sheetProtection/>
  <mergeCells count="4">
    <mergeCell ref="A4:C4"/>
    <mergeCell ref="A21:C21"/>
    <mergeCell ref="A53:C53"/>
    <mergeCell ref="A38:C38"/>
  </mergeCells>
  <printOptions/>
  <pageMargins left="0.32" right="0.16" top="0.56" bottom="0.64" header="0.4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Nellas Lefteris</dc:creator>
  <cp:keywords/>
  <dc:description/>
  <cp:lastModifiedBy>..</cp:lastModifiedBy>
  <cp:lastPrinted>2003-04-10T12:36:32Z</cp:lastPrinted>
  <dcterms:created xsi:type="dcterms:W3CDTF">1999-07-01T08:48:54Z</dcterms:created>
  <dcterms:modified xsi:type="dcterms:W3CDTF">2013-10-29T07:52:48Z</dcterms:modified>
  <cp:category/>
  <cp:version/>
  <cp:contentType/>
  <cp:contentStatus/>
</cp:coreProperties>
</file>