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540" activeTab="0"/>
  </bookViews>
  <sheets>
    <sheet name="Εσοδα κ' δαπάνες" sheetId="1" r:id="rId1"/>
    <sheet name="Δαπ.Κατασκευών &amp; αξία ζώων" sheetId="2" r:id="rId2"/>
    <sheet name="Δαπάνες" sheetId="3" r:id="rId3"/>
    <sheet name="Οικον. αποτελέσματα" sheetId="4" r:id="rId4"/>
  </sheets>
  <externalReferences>
    <externalReference r:id="rId7"/>
  </externalReferences>
  <definedNames>
    <definedName name="_xlnm.Print_Area" localSheetId="2">'Δαπάνες'!$A$1:$F$31</definedName>
    <definedName name="_xlnm.Print_Area" localSheetId="0">'Εσοδα κ'' δαπάνες'!$A$2:$E$51,'Εσοδα κ'' δαπάνες'!#REF!,'Εσοδα κ'' δαπάνες'!$A$55:$D$59</definedName>
    <definedName name="_xlnm.Print_Area" localSheetId="3">'Οικον. αποτελέσματα'!#REF!</definedName>
  </definedNames>
  <calcPr fullCalcOnLoad="1"/>
</workbook>
</file>

<file path=xl/sharedStrings.xml><?xml version="1.0" encoding="utf-8"?>
<sst xmlns="http://schemas.openxmlformats.org/spreadsheetml/2006/main" count="146" uniqueCount="133">
  <si>
    <t>Παραγωγή ανά αγελάδα(λιτρα/ετος)</t>
  </si>
  <si>
    <t>Αγελάδες (αριθμός)</t>
  </si>
  <si>
    <t>Διατροφή</t>
  </si>
  <si>
    <t>ΣΥΝΟΛΟ</t>
  </si>
  <si>
    <t>Διάρκεια παραγωγικής ζωής (χρόνια)</t>
  </si>
  <si>
    <t>Απόσβεση</t>
  </si>
  <si>
    <t>Αξία αγελάδας</t>
  </si>
  <si>
    <t>Υπολλειματική αξία</t>
  </si>
  <si>
    <t>Διάρκεια παραγωγικής ζωής</t>
  </si>
  <si>
    <t>Τιμή πώλησης γάλακτος (ευρώ/λιτρο)</t>
  </si>
  <si>
    <t xml:space="preserve">Αξία μόσχου 30 ημερών (ευρώ/κεφαλή) </t>
  </si>
  <si>
    <t>Μέσο επενδυμένο κεφάλαιο σε κατασκευές και εξοπλισμό (ευρώ)</t>
  </si>
  <si>
    <t>Ταϊστρες- ποτίστρες, λοιπός εξοπλισμός</t>
  </si>
  <si>
    <t>Μέσο επενδυμένο κεφάλαιο γεωργικ. εκμεταλ.</t>
  </si>
  <si>
    <t>Αξία αγελάδος (ευρώ ανά ζώο)</t>
  </si>
  <si>
    <t>Λοιπές δαπάνες (νερό, φώς, κλπ.), ευρώ ανά ζώο</t>
  </si>
  <si>
    <t>Παρελθόντα χρόνια από την κατασκευή - προμήθεια</t>
  </si>
  <si>
    <t>Ένοίκιο εδάφους (ευρώ/στρ)</t>
  </si>
  <si>
    <t>Αξία εδάφους (ευρώ/στρ)</t>
  </si>
  <si>
    <r>
      <t>Έδαφος</t>
    </r>
    <r>
      <rPr>
        <sz val="10"/>
        <rFont val="Arial Greek"/>
        <family val="0"/>
      </rPr>
      <t xml:space="preserve"> γεωργ. εκμετάλλευσης (στρ.)</t>
    </r>
  </si>
  <si>
    <t>ΣΥΝΤΕΛΕΣΤΕΣ ΠΑΡΑΓΩΓΗΣ</t>
  </si>
  <si>
    <t>Παραγωγικές δαπάνες</t>
  </si>
  <si>
    <t>Μεταβλητές δαπάνες</t>
  </si>
  <si>
    <t>Σταθερές δαπάνες</t>
  </si>
  <si>
    <t>Εμφανείς δαπάνες</t>
  </si>
  <si>
    <t>Μη εμφανείς δαπάνες</t>
  </si>
  <si>
    <t>1) Εδαφος</t>
  </si>
  <si>
    <t>α) ενοίκιο ιδιόκτητης γής</t>
  </si>
  <si>
    <t>β) ενοίκιο ενοικιαζόμενης γής</t>
  </si>
  <si>
    <t>2) Εργασία</t>
  </si>
  <si>
    <t>α) αμοιβή οικογενειακής εργασίας</t>
  </si>
  <si>
    <t>β) αμοιβή ξένης εργασίας</t>
  </si>
  <si>
    <t>3) Κεφάλαιο</t>
  </si>
  <si>
    <t>α) Πάγιο κεφάλαιο</t>
  </si>
  <si>
    <t>1) αποσβέσεις</t>
  </si>
  <si>
    <t>α) Κυκλοφοριακό κεφάλαιο</t>
  </si>
  <si>
    <t>1) αναλώσιμα υλικά</t>
  </si>
  <si>
    <t>3) υπηρεσίες τρίτων</t>
  </si>
  <si>
    <t>4) διάφορες άλλες δαπάνες</t>
  </si>
  <si>
    <t>ΣΥΝΟΛΟ  ΠΑΡΑΓΩΓΙΚΩΝ  ΔΠΑΝΩΝ</t>
  </si>
  <si>
    <t>ΠΙΝΑΚΑΣ  ΟΙΚΟΝΟΜΙΚΩΝ ΑΠΟΤΕΛΕΣΜΑΤΩΝ ΚΛΑΔΟΥ ΠΡΟΒΑΤΩΝ</t>
  </si>
  <si>
    <t>Οικονομικό αποτέλεσμα</t>
  </si>
  <si>
    <t>Τύπος υπολογισμού</t>
  </si>
  <si>
    <t>Ποσό</t>
  </si>
  <si>
    <t>Ακαθάριστη πρόσοδος</t>
  </si>
  <si>
    <t>[Συν. Αξία Πωλήσεων+Συν. Επιδοτήσεις]</t>
  </si>
  <si>
    <t>Καθαρό κέρδος</t>
  </si>
  <si>
    <t>[Ακαθ. Προς.-Συν. Παραγ. Δαπανών]</t>
  </si>
  <si>
    <t>Ακαθάριστο κέρδος</t>
  </si>
  <si>
    <t>[Ακαθ. Προς.-Συν. Μετ.Δαπάνες Παραγ.]</t>
  </si>
  <si>
    <t>[Ακαθ. Προς.-Συν. Εμφαν.Δαπάνες Παραγ.]</t>
  </si>
  <si>
    <t>Καθαρή πρόσοδοςή πρόσοδος κεφαλαίου</t>
  </si>
  <si>
    <t>[Καθ. Κέρδος+Τόκοι+Ενοίκια]</t>
  </si>
  <si>
    <t>Αποδοτικότητα κεφαλαίου(%)</t>
  </si>
  <si>
    <t>[Καθ. Προσοδος/Μ.Ε.Κ.]</t>
  </si>
  <si>
    <t>Πρόσοδος καθαρής περιουσίας</t>
  </si>
  <si>
    <t>[Καθ. Προσοδος-(Τόκοι ξένου κεφ.+Ενοικ. Ξένης γής)]</t>
  </si>
  <si>
    <t>Αποδοτικότητα ιδίου κεφαλαίου</t>
  </si>
  <si>
    <t>[Προσοδ. Καθ. Περ./Μ.Ε.Κ. ιδίου κεφ]</t>
  </si>
  <si>
    <t>Εγγειος πρόσοδος</t>
  </si>
  <si>
    <t>[Καθ. Κέρδος+Ενοικ. Εδάφους]</t>
  </si>
  <si>
    <t>Πρόσοδος εργασίας</t>
  </si>
  <si>
    <t>[Καθ. Κέρδος+Αμοιβ. Εργασίας]</t>
  </si>
  <si>
    <t>Αξία ανακατασκευής ή αντκατάστασης (ευρω)</t>
  </si>
  <si>
    <t>Υπολλειματική αξία (ευρώ)</t>
  </si>
  <si>
    <t>Αε (ευρώ)</t>
  </si>
  <si>
    <t>Αλ (ευρώ)</t>
  </si>
  <si>
    <t>Αξία ανακατασκευής (ευρώ)</t>
  </si>
  <si>
    <t>ΠΙΝΑΚΑΣ  ΥΠΟΛΟΓΙΣΜΟΥ  ΕΤΗΣΙΩΝ  ΠΑΡΑΓΩΓΙΚΩΝ ΔΑΠΑΝΩΝ ΑΓΕΛΑΔΟΤΡΟΦΙΑΣ</t>
  </si>
  <si>
    <t>Επιτόκιο μεσομακροπρόθεσμο (5,95%)</t>
  </si>
  <si>
    <t>Επιτόκιο βραχυπρόθεσμο(4,8%)</t>
  </si>
  <si>
    <t>γ) εισφορές ΟΓΑ</t>
  </si>
  <si>
    <t>Απόσβεση ανά αγελάδα</t>
  </si>
  <si>
    <t>Μέση αξία ζωϊκού πληθυσμού</t>
  </si>
  <si>
    <t xml:space="preserve">1ο </t>
  </si>
  <si>
    <t>2ο</t>
  </si>
  <si>
    <t>3ο</t>
  </si>
  <si>
    <t>4ο</t>
  </si>
  <si>
    <t>5ο</t>
  </si>
  <si>
    <t>Κατηγορίες αγελάδων με βάση το έτος παραγωγικής ζωής</t>
  </si>
  <si>
    <t>Αριθμός ζώων ανά κατηγορία</t>
  </si>
  <si>
    <t>Μέσο επενδυμένο κεφάλαιο σε ζωϊκό πληθυσμό (ευρώ)</t>
  </si>
  <si>
    <t>δ) τόκοι δαπανών εργασίας (4,8% για 6 μήνες)</t>
  </si>
  <si>
    <t>2) τόκοι παγίου κεφαλαίου(Μ.Ε.Κ. κατασκευών &amp; ζώων * 5,95%)</t>
  </si>
  <si>
    <t>5) τόκοι συντήρησης &amp; ασφαλίστρων(4,8% για 6 μήνες)</t>
  </si>
  <si>
    <t>5) τόκοι κ.κεφαλαίου (4,8% για 6 μήνες)</t>
  </si>
  <si>
    <t>Αξία γάλακτος</t>
  </si>
  <si>
    <t>Αξία μόσχων</t>
  </si>
  <si>
    <t>Αξία κρέατος υπερήλικων αγελάδων</t>
  </si>
  <si>
    <t>Σύνολο</t>
  </si>
  <si>
    <t>Κύριο προϊόν</t>
  </si>
  <si>
    <t>Δευτερ. Προϊόν</t>
  </si>
  <si>
    <t>(Συν. Παραγ. δαπ.-υποπροιόν(αξία μόσχων)- υποπροϊόν (αξία κρέατος υπερήλικων αγελάδων) )/Συν. παραγωγή)</t>
  </si>
  <si>
    <t>Κόστος γάλακτος(ευρώ/κιλό)</t>
  </si>
  <si>
    <t>Γεωργικό Οικογενειακό Εισόδημα</t>
  </si>
  <si>
    <t>Αγορά ζωοτροφών (Kgr)</t>
  </si>
  <si>
    <t>Τιμή αγοράς/κιλό (€/kgr)</t>
  </si>
  <si>
    <t>Σύνολο δαπανης αγοράς ζωοτροφών (€)</t>
  </si>
  <si>
    <t>Αμελκτήριο</t>
  </si>
  <si>
    <t>Διάρκεια παραγωγικής ζωής αγελάδων (σε χρόνια)</t>
  </si>
  <si>
    <t>60 αγελάδες</t>
  </si>
  <si>
    <t>Μηχάνημα άμελξης (2*5 θέσεις)</t>
  </si>
  <si>
    <t>Στάβλος (480 τ.μ.)</t>
  </si>
  <si>
    <t>Σιρός (980 μ2)</t>
  </si>
  <si>
    <t>Αποθήκη ζωοτροφών (120 μ2)</t>
  </si>
  <si>
    <t xml:space="preserve">Γενικές δαπάνες </t>
  </si>
  <si>
    <t>Αριθμόςπωλούμενων αγελάδων υπερήλικων</t>
  </si>
  <si>
    <t>Αξία υπερήλικης αγελάδας (250 κιλά κρέας*2 ευρώ/κιλο)</t>
  </si>
  <si>
    <t xml:space="preserve">Μονάδες Ανθρώπινης Εργασίας (Μ.Α.Ε. ) οικογένειας </t>
  </si>
  <si>
    <t>[Ωρες οικογενειακής εργασίας./2.240)]</t>
  </si>
  <si>
    <t>Γεωργικό Οικογενειακό Εισόδημα / Μ.Α.Ε. οικογένειας</t>
  </si>
  <si>
    <t>[Γ.Ο.Ε. / Μ.Α.Ε. οικογένειας]</t>
  </si>
  <si>
    <t>Είδος κατασκευής ή εξοπλισμού</t>
  </si>
  <si>
    <t>Μέση αξία ανά ζώο ανά παραγωγικό έτος</t>
  </si>
  <si>
    <t>Μέση αξία συνόλου ζώων ανά έτος παραγωγικής ζωής</t>
  </si>
  <si>
    <t xml:space="preserve">Κτηνιατρική περίθαλψη, σπερματέγχυση (ευρω) </t>
  </si>
  <si>
    <t>Ενσίρωμα αραβοσίτου (32,6 κιλα/μερα)</t>
  </si>
  <si>
    <t>Πίτυρα σίτου (4 κιλά/μέρα)</t>
  </si>
  <si>
    <t>Βαμβακόπιτα (1,7 κιλα/μερα)</t>
  </si>
  <si>
    <t>Αμοιβή εργασίας (2,5 ευρώ/ώρα)</t>
  </si>
  <si>
    <t>Ανθρώπινη εργασία (ώρες)</t>
  </si>
  <si>
    <t xml:space="preserve">Μηχανήματα τρίτων (μεταφορά κόπρου), ευρώ </t>
  </si>
  <si>
    <t>Λοιπές δαπάνες (συνολο εκμεταλλευσης)</t>
  </si>
  <si>
    <t>Εισφορές ΟΓΑ ( για 4 ασφαλιζομενα ατομα)</t>
  </si>
  <si>
    <t>Κρατήσεις ΕΛ.ΓΑ (0,5% επι της αξιας των πωλούμενων προϊοντων)</t>
  </si>
  <si>
    <t>Δαπάνες συντήρησης κτισμάτων και εξοπλισμού (1% επι του ΜΕΚ)</t>
  </si>
  <si>
    <t>Δαπάνες ασφαλίστρων κτισμάτων και εξοπλισμού  (0,83 %επι του ΜΕΚ )</t>
  </si>
  <si>
    <t>Σύνολο αξιας πωλούμενων προϊόντων</t>
  </si>
  <si>
    <t>Αξία πωλούμενων προϊόντων</t>
  </si>
  <si>
    <t>και προσδιορισμός κυρίων και δευτερευόντων προϊόντων</t>
  </si>
  <si>
    <t>3) συντήρηση (Μ.Ε.Κ. Κατασκευών&amp; εξοπλισμου  * 1%)</t>
  </si>
  <si>
    <t>4) ασφάλιστρα (Μ.Ε.Κ. κατασκευών &amp; εξοπλισμού * 0,83%)</t>
  </si>
  <si>
    <t>2) Ε.Λ.Γ.Α.(0,5% επι των πωλήσεων)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</si>
</sst>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_-* #,##0\ &quot;Δρχ&quot;_-;\-* #,##0\ &quot;Δρχ&quot;_-;_-* &quot;-&quot;??\ &quot;Δρχ&quot;_-;_-@_-"/>
    <numFmt numFmtId="174" formatCode="#,##0_ ;\-#,##0\ "/>
    <numFmt numFmtId="175" formatCode="#,##0.000"/>
    <numFmt numFmtId="176" formatCode="_-* #,##0.00\ [$€]_-;\-* #,##0.00\ [$€]_-;_-* &quot;-&quot;??\ [$€]_-;_-@_-"/>
  </numFmts>
  <fonts count="14">
    <font>
      <sz val="10"/>
      <name val="Arial Greek"/>
      <family val="0"/>
    </font>
    <font>
      <b/>
      <sz val="10"/>
      <name val="Arial Greek"/>
      <family val="2"/>
    </font>
    <font>
      <b/>
      <sz val="12"/>
      <name val="Arial Greek"/>
      <family val="2"/>
    </font>
    <font>
      <b/>
      <sz val="9"/>
      <name val="Arial Greek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i/>
      <sz val="9"/>
      <name val="Arial"/>
      <family val="2"/>
    </font>
    <font>
      <b/>
      <sz val="9"/>
      <name val="Times New Roman"/>
      <family val="1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gray125">
        <bgColor indexed="9"/>
      </patternFill>
    </fill>
    <fill>
      <patternFill patternType="gray0625">
        <bgColor indexed="9"/>
      </patternFill>
    </fill>
    <fill>
      <patternFill patternType="lightGray"/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170" fontId="0" fillId="0" borderId="1" xfId="0" applyNumberFormat="1" applyBorder="1" applyAlignment="1">
      <alignment horizontal="center" wrapText="1"/>
    </xf>
    <xf numFmtId="170" fontId="1" fillId="0" borderId="1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74" fontId="7" fillId="0" borderId="2" xfId="18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" fontId="5" fillId="0" borderId="0" xfId="18" applyNumberFormat="1" applyFont="1" applyFill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174" fontId="4" fillId="0" borderId="6" xfId="18" applyNumberFormat="1" applyFont="1" applyBorder="1" applyAlignment="1">
      <alignment/>
    </xf>
    <xf numFmtId="174" fontId="7" fillId="0" borderId="7" xfId="18" applyNumberFormat="1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174" fontId="8" fillId="0" borderId="9" xfId="18" applyNumberFormat="1" applyFont="1" applyBorder="1" applyAlignment="1">
      <alignment horizontal="left"/>
    </xf>
    <xf numFmtId="174" fontId="7" fillId="0" borderId="9" xfId="18" applyNumberFormat="1" applyFont="1" applyBorder="1" applyAlignment="1">
      <alignment/>
    </xf>
    <xf numFmtId="174" fontId="7" fillId="0" borderId="1" xfId="18" applyNumberFormat="1" applyFont="1" applyBorder="1" applyAlignment="1">
      <alignment/>
    </xf>
    <xf numFmtId="174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17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174" fontId="5" fillId="0" borderId="11" xfId="0" applyNumberFormat="1" applyFont="1" applyBorder="1" applyAlignment="1">
      <alignment/>
    </xf>
    <xf numFmtId="174" fontId="5" fillId="0" borderId="12" xfId="0" applyNumberFormat="1" applyFont="1" applyBorder="1" applyAlignment="1">
      <alignment/>
    </xf>
    <xf numFmtId="174" fontId="7" fillId="0" borderId="6" xfId="18" applyNumberFormat="1" applyFont="1" applyBorder="1" applyAlignment="1">
      <alignment/>
    </xf>
    <xf numFmtId="174" fontId="7" fillId="0" borderId="13" xfId="18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174" fontId="9" fillId="0" borderId="11" xfId="0" applyNumberFormat="1" applyFont="1" applyBorder="1" applyAlignment="1">
      <alignment/>
    </xf>
    <xf numFmtId="174" fontId="4" fillId="0" borderId="9" xfId="18" applyNumberFormat="1" applyFont="1" applyBorder="1" applyAlignment="1">
      <alignment horizontal="left"/>
    </xf>
    <xf numFmtId="174" fontId="8" fillId="0" borderId="6" xfId="18" applyNumberFormat="1" applyFont="1" applyBorder="1" applyAlignment="1">
      <alignment/>
    </xf>
    <xf numFmtId="174" fontId="8" fillId="0" borderId="15" xfId="18" applyNumberFormat="1" applyFont="1" applyBorder="1" applyAlignment="1">
      <alignment horizontal="left" wrapText="1"/>
    </xf>
    <xf numFmtId="174" fontId="7" fillId="0" borderId="16" xfId="18" applyNumberFormat="1" applyFont="1" applyBorder="1" applyAlignment="1">
      <alignment/>
    </xf>
    <xf numFmtId="174" fontId="7" fillId="0" borderId="0" xfId="18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17" xfId="18" applyNumberFormat="1" applyFont="1" applyBorder="1" applyAlignment="1">
      <alignment/>
    </xf>
    <xf numFmtId="3" fontId="7" fillId="0" borderId="18" xfId="18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9" xfId="18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6" xfId="18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174" fontId="8" fillId="0" borderId="15" xfId="18" applyNumberFormat="1" applyFont="1" applyBorder="1" applyAlignment="1">
      <alignment horizontal="left"/>
    </xf>
    <xf numFmtId="3" fontId="7" fillId="0" borderId="15" xfId="18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3" fontId="9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174" fontId="9" fillId="0" borderId="25" xfId="0" applyNumberFormat="1" applyFont="1" applyBorder="1" applyAlignment="1">
      <alignment/>
    </xf>
    <xf numFmtId="174" fontId="0" fillId="0" borderId="0" xfId="0" applyNumberFormat="1" applyAlignment="1">
      <alignment/>
    </xf>
    <xf numFmtId="0" fontId="1" fillId="0" borderId="26" xfId="0" applyFont="1" applyBorder="1" applyAlignment="1">
      <alignment vertical="center" wrapText="1"/>
    </xf>
    <xf numFmtId="2" fontId="8" fillId="0" borderId="27" xfId="0" applyNumberFormat="1" applyFont="1" applyBorder="1" applyAlignment="1">
      <alignment horizontal="left" vertical="center" wrapText="1"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174" fontId="7" fillId="0" borderId="33" xfId="0" applyNumberFormat="1" applyFont="1" applyBorder="1" applyAlignment="1">
      <alignment/>
    </xf>
    <xf numFmtId="174" fontId="7" fillId="0" borderId="34" xfId="0" applyNumberFormat="1" applyFont="1" applyBorder="1" applyAlignment="1">
      <alignment/>
    </xf>
    <xf numFmtId="0" fontId="4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1" fontId="5" fillId="0" borderId="1" xfId="18" applyNumberFormat="1" applyFont="1" applyFill="1" applyBorder="1" applyAlignment="1">
      <alignment/>
    </xf>
    <xf numFmtId="0" fontId="7" fillId="0" borderId="35" xfId="0" applyFont="1" applyBorder="1" applyAlignment="1">
      <alignment/>
    </xf>
    <xf numFmtId="174" fontId="8" fillId="0" borderId="36" xfId="18" applyNumberFormat="1" applyFont="1" applyBorder="1" applyAlignment="1">
      <alignment horizontal="left"/>
    </xf>
    <xf numFmtId="10" fontId="0" fillId="0" borderId="1" xfId="20" applyNumberFormat="1" applyBorder="1" applyAlignment="1">
      <alignment/>
    </xf>
    <xf numFmtId="9" fontId="0" fillId="0" borderId="1" xfId="0" applyNumberFormat="1" applyBorder="1" applyAlignment="1">
      <alignment/>
    </xf>
    <xf numFmtId="175" fontId="5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wrapText="1"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Fill="1" applyBorder="1" applyAlignment="1">
      <alignment/>
    </xf>
    <xf numFmtId="3" fontId="0" fillId="0" borderId="1" xfId="0" applyNumberFormat="1" applyBorder="1" applyAlignment="1">
      <alignment wrapText="1"/>
    </xf>
    <xf numFmtId="3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left" wrapText="1"/>
    </xf>
    <xf numFmtId="0" fontId="12" fillId="0" borderId="1" xfId="0" applyFont="1" applyBorder="1" applyAlignment="1">
      <alignment/>
    </xf>
    <xf numFmtId="3" fontId="5" fillId="0" borderId="1" xfId="18" applyNumberFormat="1" applyFont="1" applyBorder="1" applyAlignment="1">
      <alignment/>
    </xf>
    <xf numFmtId="10" fontId="5" fillId="0" borderId="1" xfId="2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172" fontId="5" fillId="0" borderId="1" xfId="18" applyNumberFormat="1" applyFont="1" applyBorder="1" applyAlignment="1">
      <alignment/>
    </xf>
    <xf numFmtId="0" fontId="1" fillId="4" borderId="1" xfId="0" applyFont="1" applyFill="1" applyBorder="1" applyAlignment="1">
      <alignment wrapText="1"/>
    </xf>
    <xf numFmtId="174" fontId="1" fillId="4" borderId="1" xfId="15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0" fillId="0" borderId="3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9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etaptktinotrofias\&#913;&#931;&#922;&#919;&#931;&#919;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εδομένα"/>
      <sheetName val="Αποσβέσεις-ΜΕΚ"/>
      <sheetName val="Δαπάνες"/>
      <sheetName val="Οικ Αποτελέσματα"/>
      <sheetName val="NPV"/>
    </sheetNames>
    <sheetDataSet>
      <sheetData sheetId="0">
        <row r="16">
          <cell r="C16">
            <v>0</v>
          </cell>
        </row>
        <row r="17">
          <cell r="B17">
            <v>650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9"/>
  <sheetViews>
    <sheetView tabSelected="1" workbookViewId="0" topLeftCell="A1">
      <selection activeCell="B31" sqref="B31"/>
    </sheetView>
  </sheetViews>
  <sheetFormatPr defaultColWidth="9.00390625" defaultRowHeight="12.75"/>
  <cols>
    <col min="1" max="1" width="25.25390625" style="0" customWidth="1"/>
    <col min="2" max="2" width="14.00390625" style="0" customWidth="1"/>
    <col min="3" max="3" width="13.75390625" style="0" customWidth="1"/>
    <col min="4" max="4" width="13.375" style="0" customWidth="1"/>
    <col min="5" max="6" width="12.75390625" style="0" customWidth="1"/>
    <col min="7" max="7" width="14.125" style="0" customWidth="1"/>
    <col min="8" max="8" width="10.125" style="0" customWidth="1"/>
    <col min="9" max="9" width="12.875" style="0" customWidth="1"/>
    <col min="10" max="10" width="18.25390625" style="0" customWidth="1"/>
    <col min="11" max="11" width="7.875" style="0" customWidth="1"/>
    <col min="12" max="12" width="8.00390625" style="0" customWidth="1"/>
  </cols>
  <sheetData>
    <row r="3" spans="1:4" ht="15.75">
      <c r="A3" s="112" t="s">
        <v>100</v>
      </c>
      <c r="B3" s="112"/>
      <c r="C3" s="112"/>
      <c r="D3" s="112"/>
    </row>
    <row r="5" spans="1:2" ht="12.75">
      <c r="A5" s="1" t="s">
        <v>1</v>
      </c>
      <c r="B5">
        <v>60</v>
      </c>
    </row>
    <row r="6" spans="1:2" ht="25.5" customHeight="1">
      <c r="A6" s="1" t="s">
        <v>0</v>
      </c>
      <c r="B6" s="91">
        <v>6500</v>
      </c>
    </row>
    <row r="7" spans="1:2" ht="25.5">
      <c r="A7" s="1" t="s">
        <v>9</v>
      </c>
      <c r="B7">
        <v>0.34</v>
      </c>
    </row>
    <row r="8" spans="1:2" ht="25.5">
      <c r="A8" s="1" t="s">
        <v>10</v>
      </c>
      <c r="B8" s="12">
        <v>200</v>
      </c>
    </row>
    <row r="9" spans="1:2" ht="29.25" customHeight="1">
      <c r="A9" s="1" t="s">
        <v>99</v>
      </c>
      <c r="B9">
        <v>5</v>
      </c>
    </row>
    <row r="10" spans="1:2" ht="25.5">
      <c r="A10" s="1" t="s">
        <v>14</v>
      </c>
      <c r="B10" s="91">
        <v>2000</v>
      </c>
    </row>
    <row r="11" spans="1:2" ht="25.5">
      <c r="A11" s="1" t="s">
        <v>106</v>
      </c>
      <c r="B11" s="91">
        <v>9</v>
      </c>
    </row>
    <row r="12" spans="1:14" ht="38.25">
      <c r="A12" s="1" t="s">
        <v>107</v>
      </c>
      <c r="B12">
        <f>250*2</f>
        <v>500</v>
      </c>
      <c r="G12" s="1"/>
      <c r="H12" s="1"/>
      <c r="I12" s="1"/>
      <c r="J12" s="1"/>
      <c r="K12" s="1"/>
      <c r="L12" s="1"/>
      <c r="M12" s="1"/>
      <c r="N12" s="1"/>
    </row>
    <row r="13" ht="12.75">
      <c r="A13" s="1"/>
    </row>
    <row r="14" ht="12.75">
      <c r="A14" s="1"/>
    </row>
    <row r="15" spans="1:5" ht="55.5" customHeight="1">
      <c r="A15" s="4" t="s">
        <v>112</v>
      </c>
      <c r="B15" s="9" t="s">
        <v>67</v>
      </c>
      <c r="C15" s="10" t="s">
        <v>64</v>
      </c>
      <c r="D15" s="10" t="s">
        <v>4</v>
      </c>
      <c r="E15" s="10" t="s">
        <v>16</v>
      </c>
    </row>
    <row r="16" spans="1:5" ht="12.75">
      <c r="A16" s="3" t="s">
        <v>102</v>
      </c>
      <c r="B16" s="93">
        <f>140*480</f>
        <v>67200</v>
      </c>
      <c r="C16" s="4">
        <v>0</v>
      </c>
      <c r="D16" s="4">
        <v>25</v>
      </c>
      <c r="E16" s="4">
        <v>10</v>
      </c>
    </row>
    <row r="17" spans="1:5" ht="17.25" customHeight="1">
      <c r="A17" s="3" t="s">
        <v>104</v>
      </c>
      <c r="B17" s="93">
        <f>100*120</f>
        <v>12000</v>
      </c>
      <c r="C17" s="4">
        <v>0</v>
      </c>
      <c r="D17" s="4">
        <v>25</v>
      </c>
      <c r="E17" s="4">
        <v>10</v>
      </c>
    </row>
    <row r="18" spans="1:5" ht="17.25" customHeight="1">
      <c r="A18" s="3" t="s">
        <v>103</v>
      </c>
      <c r="B18" s="93">
        <f>980*11</f>
        <v>10780</v>
      </c>
      <c r="C18" s="4">
        <v>0</v>
      </c>
      <c r="D18" s="4">
        <v>25</v>
      </c>
      <c r="E18" s="4">
        <v>10</v>
      </c>
    </row>
    <row r="19" spans="1:5" ht="17.25" customHeight="1">
      <c r="A19" s="95" t="s">
        <v>98</v>
      </c>
      <c r="B19" s="93">
        <v>4500</v>
      </c>
      <c r="C19" s="4">
        <v>0</v>
      </c>
      <c r="D19" s="4">
        <v>25</v>
      </c>
      <c r="E19" s="4">
        <v>10</v>
      </c>
    </row>
    <row r="20" spans="1:5" ht="25.5">
      <c r="A20" s="3" t="s">
        <v>12</v>
      </c>
      <c r="B20" s="93">
        <v>4600</v>
      </c>
      <c r="C20" s="4">
        <v>0</v>
      </c>
      <c r="D20" s="4">
        <v>10</v>
      </c>
      <c r="E20" s="4">
        <v>4</v>
      </c>
    </row>
    <row r="21" spans="1:5" ht="25.5">
      <c r="A21" s="3" t="s">
        <v>101</v>
      </c>
      <c r="B21" s="93">
        <v>30000</v>
      </c>
      <c r="C21" s="96">
        <v>0</v>
      </c>
      <c r="D21" s="96">
        <v>12</v>
      </c>
      <c r="E21" s="96">
        <v>4</v>
      </c>
    </row>
    <row r="22" ht="12.75">
      <c r="A22" s="1"/>
    </row>
    <row r="23" ht="12.75">
      <c r="A23" s="1"/>
    </row>
    <row r="24" spans="1:10" ht="12.75">
      <c r="A24" s="116" t="s">
        <v>2</v>
      </c>
      <c r="B24" s="121"/>
      <c r="C24" s="121"/>
      <c r="D24" s="117"/>
      <c r="I24" s="13"/>
      <c r="J24" s="13"/>
    </row>
    <row r="25" spans="1:10" ht="55.5" customHeight="1">
      <c r="A25" s="92"/>
      <c r="B25" s="3" t="s">
        <v>95</v>
      </c>
      <c r="C25" s="3" t="s">
        <v>96</v>
      </c>
      <c r="D25" s="3" t="s">
        <v>97</v>
      </c>
      <c r="I25" s="13"/>
      <c r="J25" s="13"/>
    </row>
    <row r="26" spans="1:4" ht="25.5">
      <c r="A26" s="3" t="s">
        <v>116</v>
      </c>
      <c r="B26" s="93">
        <v>714000</v>
      </c>
      <c r="C26" s="4">
        <v>0.04</v>
      </c>
      <c r="D26" s="93">
        <f>B26*C26</f>
        <v>28560</v>
      </c>
    </row>
    <row r="27" spans="1:4" ht="12.75">
      <c r="A27" s="3" t="s">
        <v>117</v>
      </c>
      <c r="B27" s="93">
        <v>88000</v>
      </c>
      <c r="C27" s="4">
        <v>0.16</v>
      </c>
      <c r="D27" s="93">
        <f>B27*C27</f>
        <v>14080</v>
      </c>
    </row>
    <row r="28" spans="1:4" ht="25.5">
      <c r="A28" s="3" t="s">
        <v>118</v>
      </c>
      <c r="B28" s="93">
        <v>37000</v>
      </c>
      <c r="C28" s="4">
        <v>0.17</v>
      </c>
      <c r="D28" s="93">
        <f>B28*C28</f>
        <v>6290</v>
      </c>
    </row>
    <row r="29" spans="1:4" ht="12.75">
      <c r="A29" s="3" t="s">
        <v>89</v>
      </c>
      <c r="B29" s="4"/>
      <c r="C29" s="4"/>
      <c r="D29" s="94">
        <f>SUM(D26:D28)</f>
        <v>48930</v>
      </c>
    </row>
    <row r="30" spans="1:6" ht="12.75">
      <c r="A30" s="95"/>
      <c r="B30" s="99"/>
      <c r="C30" s="99"/>
      <c r="D30" s="99"/>
      <c r="E30" s="99"/>
      <c r="F30" s="100"/>
    </row>
    <row r="31" spans="1:2" ht="12.75">
      <c r="A31" s="1"/>
      <c r="B31" s="110" t="s">
        <v>89</v>
      </c>
    </row>
    <row r="32" spans="1:2" ht="25.5">
      <c r="A32" s="1" t="s">
        <v>115</v>
      </c>
      <c r="B32">
        <v>1200</v>
      </c>
    </row>
    <row r="33" spans="1:2" ht="25.5">
      <c r="A33" s="1" t="s">
        <v>15</v>
      </c>
      <c r="B33">
        <v>1980</v>
      </c>
    </row>
    <row r="34" ht="12.75">
      <c r="A34" s="1"/>
    </row>
    <row r="35" spans="1:2" ht="25.5" customHeight="1">
      <c r="A35" s="116" t="s">
        <v>122</v>
      </c>
      <c r="B35" s="117"/>
    </row>
    <row r="36" ht="12.75">
      <c r="B36" s="110"/>
    </row>
    <row r="37" spans="1:2" ht="12.75">
      <c r="A37" s="1" t="s">
        <v>120</v>
      </c>
      <c r="B37">
        <v>8400</v>
      </c>
    </row>
    <row r="38" spans="1:2" ht="25.5">
      <c r="A38" s="1" t="s">
        <v>119</v>
      </c>
      <c r="B38">
        <f>2.5*B37</f>
        <v>21000</v>
      </c>
    </row>
    <row r="39" spans="1:2" ht="25.5">
      <c r="A39" s="1" t="s">
        <v>121</v>
      </c>
      <c r="B39">
        <v>1620</v>
      </c>
    </row>
    <row r="40" spans="1:2" ht="12.75">
      <c r="A40" s="1" t="s">
        <v>105</v>
      </c>
      <c r="B40">
        <v>180</v>
      </c>
    </row>
    <row r="41" spans="1:2" ht="25.5">
      <c r="A41" s="1" t="s">
        <v>123</v>
      </c>
      <c r="B41">
        <f>1524</f>
        <v>1524</v>
      </c>
    </row>
    <row r="42" spans="1:2" ht="38.25">
      <c r="A42" s="1" t="s">
        <v>124</v>
      </c>
      <c r="B42">
        <v>0.005</v>
      </c>
    </row>
    <row r="43" spans="1:2" ht="38.25">
      <c r="A43" s="1" t="s">
        <v>69</v>
      </c>
      <c r="B43">
        <v>0.0595</v>
      </c>
    </row>
    <row r="44" spans="1:2" ht="25.5">
      <c r="A44" s="1" t="s">
        <v>70</v>
      </c>
      <c r="B44">
        <v>0.048</v>
      </c>
    </row>
    <row r="45" ht="12.75">
      <c r="A45" s="1"/>
    </row>
    <row r="46" spans="1:2" ht="38.25">
      <c r="A46" s="1" t="s">
        <v>125</v>
      </c>
      <c r="B46">
        <v>0.01</v>
      </c>
    </row>
    <row r="47" spans="1:2" ht="38.25">
      <c r="A47" s="1" t="s">
        <v>126</v>
      </c>
      <c r="B47">
        <v>0.0083</v>
      </c>
    </row>
    <row r="49" spans="1:2" ht="25.5">
      <c r="A49" s="20" t="s">
        <v>19</v>
      </c>
      <c r="B49">
        <v>6</v>
      </c>
    </row>
    <row r="50" spans="1:2" ht="12.75">
      <c r="A50" s="1" t="s">
        <v>17</v>
      </c>
      <c r="B50">
        <v>15</v>
      </c>
    </row>
    <row r="51" spans="1:2" ht="12.75">
      <c r="A51" s="1" t="s">
        <v>18</v>
      </c>
      <c r="B51">
        <v>550</v>
      </c>
    </row>
    <row r="52" ht="12.75">
      <c r="A52" s="1"/>
    </row>
    <row r="53" ht="12.75">
      <c r="A53" s="1"/>
    </row>
    <row r="54" spans="1:4" ht="12.75">
      <c r="A54" s="118" t="s">
        <v>128</v>
      </c>
      <c r="B54" s="119"/>
      <c r="C54" s="119"/>
      <c r="D54" s="120"/>
    </row>
    <row r="55" spans="1:4" ht="12.75">
      <c r="A55" s="113" t="s">
        <v>129</v>
      </c>
      <c r="B55" s="114"/>
      <c r="C55" s="114"/>
      <c r="D55" s="115"/>
    </row>
    <row r="56" spans="1:4" ht="12.75">
      <c r="A56" s="3" t="s">
        <v>86</v>
      </c>
      <c r="B56" s="4">
        <f>B5*B6*B7</f>
        <v>132600</v>
      </c>
      <c r="C56" s="88">
        <f>B56/B59</f>
        <v>0.8893360160965795</v>
      </c>
      <c r="D56" s="4" t="s">
        <v>90</v>
      </c>
    </row>
    <row r="57" spans="1:4" ht="12.75">
      <c r="A57" s="3" t="s">
        <v>87</v>
      </c>
      <c r="B57" s="4">
        <f>B5*B8</f>
        <v>12000</v>
      </c>
      <c r="C57" s="88">
        <f>B57/B59</f>
        <v>0.08048289738430583</v>
      </c>
      <c r="D57" s="4" t="s">
        <v>91</v>
      </c>
    </row>
    <row r="58" spans="1:4" ht="25.5">
      <c r="A58" s="3" t="s">
        <v>88</v>
      </c>
      <c r="B58" s="4">
        <f>B11*B12</f>
        <v>4500</v>
      </c>
      <c r="C58" s="88">
        <f>B58/B59</f>
        <v>0.030181086519114688</v>
      </c>
      <c r="D58" s="4" t="s">
        <v>91</v>
      </c>
    </row>
    <row r="59" spans="1:3" ht="25.5">
      <c r="A59" s="111" t="s">
        <v>127</v>
      </c>
      <c r="B59" s="4">
        <f>SUM(B56:B58)</f>
        <v>149100</v>
      </c>
      <c r="C59" s="89">
        <v>1</v>
      </c>
    </row>
  </sheetData>
  <mergeCells count="5">
    <mergeCell ref="A3:D3"/>
    <mergeCell ref="A55:D55"/>
    <mergeCell ref="A35:B35"/>
    <mergeCell ref="A54:D54"/>
    <mergeCell ref="A24:D24"/>
  </mergeCells>
  <printOptions gridLines="1"/>
  <pageMargins left="0.48" right="0.31" top="0.36" bottom="0.23" header="0.22" footer="0.16"/>
  <pageSetup horizontalDpi="300" verticalDpi="300" orientation="portrait" paperSize="9" scale="80" r:id="rId1"/>
  <headerFooter alignWithMargins="0">
    <oddHeader>&amp;R&amp;"Arial Greek,Bold Italic\&amp;U&amp;A</oddHeader>
    <oddFooter>&amp;C&amp;"Arial Greek,Bold\&amp;P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H33"/>
  <sheetViews>
    <sheetView workbookViewId="0" topLeftCell="A7">
      <selection activeCell="C31" sqref="C31"/>
    </sheetView>
  </sheetViews>
  <sheetFormatPr defaultColWidth="9.00390625" defaultRowHeight="12.75"/>
  <cols>
    <col min="1" max="1" width="21.875" style="0" customWidth="1"/>
    <col min="2" max="2" width="14.375" style="0" customWidth="1"/>
    <col min="3" max="3" width="13.25390625" style="0" customWidth="1"/>
    <col min="4" max="5" width="13.125" style="0" customWidth="1"/>
    <col min="6" max="6" width="12.625" style="0" customWidth="1"/>
    <col min="7" max="7" width="9.625" style="0" customWidth="1"/>
  </cols>
  <sheetData>
    <row r="3" spans="1:8" ht="63.75">
      <c r="A3" s="4" t="s">
        <v>112</v>
      </c>
      <c r="B3" s="9" t="s">
        <v>63</v>
      </c>
      <c r="C3" s="10" t="s">
        <v>64</v>
      </c>
      <c r="D3" s="10" t="s">
        <v>4</v>
      </c>
      <c r="E3" s="11" t="s">
        <v>5</v>
      </c>
      <c r="F3" s="10" t="s">
        <v>16</v>
      </c>
      <c r="G3" s="10" t="s">
        <v>65</v>
      </c>
      <c r="H3" s="2" t="s">
        <v>66</v>
      </c>
    </row>
    <row r="4" spans="1:8" ht="12.75">
      <c r="A4" s="3" t="str">
        <f>'Εσοδα κ'' δαπάνες'!A16</f>
        <v>Στάβλος (480 τ.μ.)</v>
      </c>
      <c r="B4" s="93">
        <f>'Εσοδα κ'' δαπάνες'!B16</f>
        <v>67200</v>
      </c>
      <c r="C4" s="4">
        <f>'Εσοδα κ'' δαπάνες'!C16</f>
        <v>0</v>
      </c>
      <c r="D4" s="4">
        <f>'Εσοδα κ'' δαπάνες'!D16</f>
        <v>25</v>
      </c>
      <c r="E4" s="93">
        <f aca="true" t="shared" si="0" ref="E4:E9">(B4-C4)/D4</f>
        <v>2688</v>
      </c>
      <c r="F4" s="4">
        <f>'Εσοδα κ'' δαπάνες'!E16</f>
        <v>10</v>
      </c>
      <c r="G4" s="93">
        <f aca="true" t="shared" si="1" ref="G4:G9">B4-(F4*E4)</f>
        <v>40320</v>
      </c>
      <c r="H4" s="93">
        <f aca="true" t="shared" si="2" ref="H4:H9">G4-E4</f>
        <v>37632</v>
      </c>
    </row>
    <row r="5" spans="1:8" ht="25.5">
      <c r="A5" s="3" t="str">
        <f>'Εσοδα κ'' δαπάνες'!A17</f>
        <v>Αποθήκη ζωοτροφών (120 μ2)</v>
      </c>
      <c r="B5" s="93">
        <f>'Εσοδα κ'' δαπάνες'!B17</f>
        <v>12000</v>
      </c>
      <c r="C5" s="4">
        <f>'Εσοδα κ'' δαπάνες'!C17</f>
        <v>0</v>
      </c>
      <c r="D5" s="4">
        <f>'Εσοδα κ'' δαπάνες'!D17</f>
        <v>25</v>
      </c>
      <c r="E5" s="93">
        <f t="shared" si="0"/>
        <v>480</v>
      </c>
      <c r="F5" s="4">
        <f>'Εσοδα κ'' δαπάνες'!E17</f>
        <v>10</v>
      </c>
      <c r="G5" s="93">
        <f t="shared" si="1"/>
        <v>7200</v>
      </c>
      <c r="H5" s="93">
        <f t="shared" si="2"/>
        <v>6720</v>
      </c>
    </row>
    <row r="6" spans="1:8" ht="12.75">
      <c r="A6" s="3" t="str">
        <f>'Εσοδα κ'' δαπάνες'!A18</f>
        <v>Σιρός (980 μ2)</v>
      </c>
      <c r="B6" s="93">
        <f>'Εσοδα κ'' δαπάνες'!B18</f>
        <v>10780</v>
      </c>
      <c r="C6" s="4">
        <f>'Εσοδα κ'' δαπάνες'!C18</f>
        <v>0</v>
      </c>
      <c r="D6" s="4">
        <f>'Εσοδα κ'' δαπάνες'!D18</f>
        <v>25</v>
      </c>
      <c r="E6" s="93">
        <f t="shared" si="0"/>
        <v>431.2</v>
      </c>
      <c r="F6" s="4">
        <f>'Εσοδα κ'' δαπάνες'!E18</f>
        <v>10</v>
      </c>
      <c r="G6" s="93">
        <f t="shared" si="1"/>
        <v>6468</v>
      </c>
      <c r="H6" s="93">
        <f t="shared" si="2"/>
        <v>6036.8</v>
      </c>
    </row>
    <row r="7" spans="1:8" ht="12.75">
      <c r="A7" s="3" t="str">
        <f>'Εσοδα κ'' δαπάνες'!A19</f>
        <v>Αμελκτήριο</v>
      </c>
      <c r="B7" s="97">
        <f>'Εσοδα κ'' δαπάνες'!B19</f>
        <v>4500</v>
      </c>
      <c r="C7" s="3">
        <f>'Εσοδα κ'' δαπάνες'!C19</f>
        <v>0</v>
      </c>
      <c r="D7" s="3">
        <f>'Εσοδα κ'' δαπάνες'!D19</f>
        <v>25</v>
      </c>
      <c r="E7" s="93">
        <f t="shared" si="0"/>
        <v>180</v>
      </c>
      <c r="F7" s="4">
        <f>'Εσοδα κ'' δαπάνες'!E19</f>
        <v>10</v>
      </c>
      <c r="G7" s="93">
        <f t="shared" si="1"/>
        <v>2700</v>
      </c>
      <c r="H7" s="93">
        <f t="shared" si="2"/>
        <v>2520</v>
      </c>
    </row>
    <row r="8" spans="1:8" ht="24.75" customHeight="1">
      <c r="A8" s="3" t="s">
        <v>12</v>
      </c>
      <c r="B8" s="93">
        <f>'Εσοδα κ'' δαπάνες'!B20</f>
        <v>4600</v>
      </c>
      <c r="C8" s="4">
        <f>'Εσοδα κ'' δαπάνες'!C20</f>
        <v>0</v>
      </c>
      <c r="D8" s="4">
        <f>'Εσοδα κ'' δαπάνες'!D20</f>
        <v>10</v>
      </c>
      <c r="E8" s="93">
        <f t="shared" si="0"/>
        <v>460</v>
      </c>
      <c r="F8" s="4">
        <f>'Εσοδα κ'' δαπάνες'!E20</f>
        <v>4</v>
      </c>
      <c r="G8" s="93">
        <f t="shared" si="1"/>
        <v>2760</v>
      </c>
      <c r="H8" s="93">
        <f t="shared" si="2"/>
        <v>2300</v>
      </c>
    </row>
    <row r="9" spans="1:8" ht="24.75" customHeight="1">
      <c r="A9" s="3" t="str">
        <f>'Εσοδα κ'' δαπάνες'!A21</f>
        <v>Μηχάνημα άμελξης (2*5 θέσεις)</v>
      </c>
      <c r="B9" s="97">
        <f>'Εσοδα κ'' δαπάνες'!B21</f>
        <v>30000</v>
      </c>
      <c r="C9" s="3">
        <f>'Εσοδα κ'' δαπάνες'!C21</f>
        <v>0</v>
      </c>
      <c r="D9" s="3">
        <f>'Εσοδα κ'' δαπάνες'!D21</f>
        <v>12</v>
      </c>
      <c r="E9" s="93">
        <f t="shared" si="0"/>
        <v>2500</v>
      </c>
      <c r="F9" s="4">
        <f>'Εσοδα κ'' δαπάνες'!E21</f>
        <v>4</v>
      </c>
      <c r="G9" s="93">
        <f t="shared" si="1"/>
        <v>20000</v>
      </c>
      <c r="H9" s="93">
        <f t="shared" si="2"/>
        <v>17500</v>
      </c>
    </row>
    <row r="10" spans="1:8" ht="12.75">
      <c r="A10" s="7" t="s">
        <v>3</v>
      </c>
      <c r="B10" s="4"/>
      <c r="C10" s="4"/>
      <c r="D10" s="4"/>
      <c r="E10" s="98">
        <f>SUM(E4:E9)</f>
        <v>6739.2</v>
      </c>
      <c r="F10" s="4"/>
      <c r="G10" s="93">
        <f>SUM(G4:G9)</f>
        <v>79448</v>
      </c>
      <c r="H10" s="93">
        <f>SUM(H4:H9)</f>
        <v>72708.8</v>
      </c>
    </row>
    <row r="12" spans="1:7" ht="25.5" customHeight="1">
      <c r="A12" s="122" t="s">
        <v>11</v>
      </c>
      <c r="B12" s="122"/>
      <c r="C12" s="122"/>
      <c r="D12" s="18">
        <f>(G10+H10)/2</f>
        <v>76078.4</v>
      </c>
      <c r="E12" s="8"/>
      <c r="F12" s="8"/>
      <c r="G12" s="8"/>
    </row>
    <row r="13" spans="1:7" ht="14.25" customHeight="1">
      <c r="A13" s="79"/>
      <c r="B13" s="79"/>
      <c r="C13" s="79"/>
      <c r="D13" s="18"/>
      <c r="E13" s="8"/>
      <c r="F13" s="8"/>
      <c r="G13" s="8"/>
    </row>
    <row r="14" spans="1:7" ht="14.25" customHeight="1">
      <c r="A14" s="79"/>
      <c r="B14" s="79"/>
      <c r="C14" s="79"/>
      <c r="D14" s="18"/>
      <c r="E14" s="8"/>
      <c r="F14" s="8"/>
      <c r="G14" s="8"/>
    </row>
    <row r="15" spans="1:7" ht="14.25" customHeight="1">
      <c r="A15" s="124" t="s">
        <v>72</v>
      </c>
      <c r="B15" s="125"/>
      <c r="C15" s="125"/>
      <c r="D15" s="126"/>
      <c r="E15" s="8"/>
      <c r="F15" s="8"/>
      <c r="G15" s="8"/>
    </row>
    <row r="16" spans="1:7" ht="43.5" customHeight="1">
      <c r="A16" s="14" t="s">
        <v>6</v>
      </c>
      <c r="B16" s="14" t="s">
        <v>7</v>
      </c>
      <c r="C16" s="14" t="s">
        <v>8</v>
      </c>
      <c r="D16" s="5" t="s">
        <v>5</v>
      </c>
      <c r="E16" s="8"/>
      <c r="F16" s="8"/>
      <c r="G16" s="8"/>
    </row>
    <row r="17" spans="1:7" ht="14.25" customHeight="1">
      <c r="A17" s="4">
        <f>'Εσοδα κ'' δαπάνες'!B10</f>
        <v>2000</v>
      </c>
      <c r="B17" s="4">
        <f>'Εσοδα κ'' δαπάνες'!B12</f>
        <v>500</v>
      </c>
      <c r="C17" s="4">
        <f>'Εσοδα κ'' δαπάνες'!B9</f>
        <v>5</v>
      </c>
      <c r="D17" s="6">
        <f>(A17-B17)/C17</f>
        <v>300</v>
      </c>
      <c r="E17" s="8"/>
      <c r="F17" s="8"/>
      <c r="G17" s="8"/>
    </row>
    <row r="18" spans="1:7" ht="14.25" customHeight="1">
      <c r="A18" s="79"/>
      <c r="B18" s="79"/>
      <c r="C18" s="79"/>
      <c r="D18" s="18"/>
      <c r="E18" s="8"/>
      <c r="F18" s="8"/>
      <c r="G18" s="8"/>
    </row>
    <row r="19" spans="1:5" ht="14.25" customHeight="1">
      <c r="A19" s="82"/>
      <c r="B19" s="127" t="s">
        <v>73</v>
      </c>
      <c r="C19" s="127"/>
      <c r="D19" s="127"/>
      <c r="E19" s="8"/>
    </row>
    <row r="20" spans="1:6" ht="63.75" customHeight="1">
      <c r="A20" s="82" t="s">
        <v>79</v>
      </c>
      <c r="B20" s="82" t="s">
        <v>80</v>
      </c>
      <c r="C20" s="82" t="s">
        <v>113</v>
      </c>
      <c r="D20" s="82" t="s">
        <v>114</v>
      </c>
      <c r="E20" s="8"/>
      <c r="F20" s="8"/>
    </row>
    <row r="21" spans="1:6" ht="14.25" customHeight="1">
      <c r="A21" s="82" t="s">
        <v>74</v>
      </c>
      <c r="B21" s="83">
        <v>9</v>
      </c>
      <c r="C21" s="83">
        <v>1850</v>
      </c>
      <c r="D21" s="84">
        <f>B21*C21</f>
        <v>16650</v>
      </c>
      <c r="E21" s="8"/>
      <c r="F21" s="8"/>
    </row>
    <row r="22" spans="1:6" ht="14.25" customHeight="1">
      <c r="A22" s="82" t="s">
        <v>75</v>
      </c>
      <c r="B22" s="83">
        <v>15</v>
      </c>
      <c r="C22" s="83">
        <v>1550</v>
      </c>
      <c r="D22" s="84">
        <f>C22*B22</f>
        <v>23250</v>
      </c>
      <c r="E22" s="8"/>
      <c r="F22" s="8"/>
    </row>
    <row r="23" spans="1:6" ht="15" customHeight="1">
      <c r="A23" s="82" t="s">
        <v>76</v>
      </c>
      <c r="B23" s="83">
        <v>6</v>
      </c>
      <c r="C23" s="83">
        <v>1250</v>
      </c>
      <c r="D23" s="84">
        <f>B23*C23</f>
        <v>7500</v>
      </c>
      <c r="E23" s="8"/>
      <c r="F23" s="8"/>
    </row>
    <row r="24" spans="1:6" ht="14.25" customHeight="1">
      <c r="A24" s="82" t="s">
        <v>77</v>
      </c>
      <c r="B24" s="83">
        <v>12</v>
      </c>
      <c r="C24" s="83">
        <v>950</v>
      </c>
      <c r="D24" s="84">
        <f>C24*B24</f>
        <v>11400</v>
      </c>
      <c r="E24" s="8"/>
      <c r="F24" s="8"/>
    </row>
    <row r="25" spans="1:6" ht="13.5" customHeight="1">
      <c r="A25" s="82" t="s">
        <v>78</v>
      </c>
      <c r="B25" s="83">
        <v>18</v>
      </c>
      <c r="C25" s="83">
        <v>650</v>
      </c>
      <c r="D25" s="84">
        <f>B25*C25</f>
        <v>11700</v>
      </c>
      <c r="E25" s="8"/>
      <c r="F25" s="8"/>
    </row>
    <row r="26" spans="1:5" ht="14.25" customHeight="1">
      <c r="A26" s="128" t="s">
        <v>3</v>
      </c>
      <c r="B26" s="129"/>
      <c r="C26" s="130"/>
      <c r="D26" s="85">
        <f>SUM(D21:D25)</f>
        <v>70500</v>
      </c>
      <c r="E26" s="8"/>
    </row>
    <row r="27" spans="1:7" ht="13.5" customHeight="1">
      <c r="A27" s="79"/>
      <c r="B27" s="101"/>
      <c r="C27" s="79"/>
      <c r="D27" s="18"/>
      <c r="E27" s="8"/>
      <c r="F27" s="8"/>
      <c r="G27" s="8"/>
    </row>
    <row r="28" spans="1:7" ht="14.25" customHeight="1">
      <c r="A28" s="122" t="s">
        <v>81</v>
      </c>
      <c r="B28" s="122"/>
      <c r="C28" s="122"/>
      <c r="D28" s="18">
        <f>D26</f>
        <v>70500</v>
      </c>
      <c r="E28" s="8"/>
      <c r="F28" s="8"/>
      <c r="G28" s="8"/>
    </row>
    <row r="29" spans="1:7" ht="13.5" customHeight="1">
      <c r="A29" s="79"/>
      <c r="B29" s="79"/>
      <c r="C29" s="79"/>
      <c r="D29" s="18"/>
      <c r="E29" s="8"/>
      <c r="F29" s="8"/>
      <c r="G29" s="8"/>
    </row>
    <row r="30" spans="1:4" ht="12.75">
      <c r="A30" s="16"/>
      <c r="B30" s="16"/>
      <c r="C30" s="16"/>
      <c r="D30" s="16"/>
    </row>
    <row r="31" spans="1:4" ht="25.5" customHeight="1">
      <c r="A31" s="123" t="s">
        <v>13</v>
      </c>
      <c r="B31" s="123"/>
      <c r="C31" s="18">
        <f>D28+'Δαπ.Κατασκευών &amp; αξία ζώων'!D12+('Εσοδα κ'' δαπάνες'!B49*'Εσοδα κ'' δαπάνες'!B51)</f>
        <v>149878.4</v>
      </c>
      <c r="D31" s="17"/>
    </row>
    <row r="32" spans="1:3" ht="12.75">
      <c r="A32" s="123"/>
      <c r="B32" s="123"/>
      <c r="C32" s="18"/>
    </row>
    <row r="33" spans="1:3" ht="12.75">
      <c r="A33" s="123"/>
      <c r="B33" s="123"/>
      <c r="C33" s="19"/>
    </row>
  </sheetData>
  <mergeCells count="8">
    <mergeCell ref="A12:C12"/>
    <mergeCell ref="A31:B31"/>
    <mergeCell ref="A32:B32"/>
    <mergeCell ref="A33:B33"/>
    <mergeCell ref="A15:D15"/>
    <mergeCell ref="B19:D19"/>
    <mergeCell ref="A28:C28"/>
    <mergeCell ref="A26:C26"/>
  </mergeCells>
  <printOptions/>
  <pageMargins left="0.4" right="0.3" top="0.52" bottom="0.44" header="0.27" footer="0.29"/>
  <pageSetup horizontalDpi="300" verticalDpi="300" orientation="landscape" paperSize="9" scale="85" r:id="rId1"/>
  <headerFooter alignWithMargins="0">
    <oddHeader>&amp;R&amp;"Arial Greek,Bold Italic\&amp;U&amp;A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A27" sqref="A27"/>
    </sheetView>
  </sheetViews>
  <sheetFormatPr defaultColWidth="9.00390625" defaultRowHeight="12.75"/>
  <cols>
    <col min="1" max="1" width="54.00390625" style="0" customWidth="1"/>
    <col min="2" max="2" width="14.875" style="0" customWidth="1"/>
    <col min="3" max="3" width="11.625" style="0" customWidth="1"/>
    <col min="4" max="4" width="10.25390625" style="0" customWidth="1"/>
    <col min="5" max="5" width="9.875" style="0" customWidth="1"/>
    <col min="6" max="6" width="10.625" style="0" customWidth="1"/>
  </cols>
  <sheetData>
    <row r="2" spans="1:4" ht="12.75">
      <c r="A2" s="131"/>
      <c r="B2" s="131"/>
      <c r="C2" s="131"/>
      <c r="D2" s="131"/>
    </row>
    <row r="3" spans="1:6" ht="15.75">
      <c r="A3" s="112" t="s">
        <v>68</v>
      </c>
      <c r="B3" s="112"/>
      <c r="C3" s="112"/>
      <c r="D3" s="112"/>
      <c r="E3" s="112"/>
      <c r="F3" s="112"/>
    </row>
    <row r="4" ht="13.5" thickBot="1"/>
    <row r="5" spans="1:6" ht="37.5" thickBot="1" thickTop="1">
      <c r="A5" s="21" t="s">
        <v>20</v>
      </c>
      <c r="B5" s="22" t="s">
        <v>21</v>
      </c>
      <c r="C5" s="23" t="s">
        <v>22</v>
      </c>
      <c r="D5" s="23" t="s">
        <v>23</v>
      </c>
      <c r="E5" s="23" t="s">
        <v>24</v>
      </c>
      <c r="F5" s="24" t="s">
        <v>25</v>
      </c>
    </row>
    <row r="6" spans="1:6" ht="12.75">
      <c r="A6" s="25" t="s">
        <v>26</v>
      </c>
      <c r="B6" s="15"/>
      <c r="C6" s="26"/>
      <c r="D6" s="27"/>
      <c r="E6" s="27"/>
      <c r="F6" s="28"/>
    </row>
    <row r="7" spans="1:6" ht="12.75">
      <c r="A7" s="29" t="s">
        <v>27</v>
      </c>
      <c r="B7" s="30">
        <f>'Εσοδα κ'' δαπάνες'!B49*'Εσοδα κ'' δαπάνες'!B50</f>
        <v>90</v>
      </c>
      <c r="C7" s="31"/>
      <c r="D7" s="32">
        <f>+$B7</f>
        <v>90</v>
      </c>
      <c r="E7" s="33"/>
      <c r="F7" s="34">
        <f>+$B7</f>
        <v>90</v>
      </c>
    </row>
    <row r="8" spans="1:6" ht="25.5" customHeight="1" thickBot="1">
      <c r="A8" s="29" t="s">
        <v>28</v>
      </c>
      <c r="B8" s="30">
        <v>0</v>
      </c>
      <c r="C8" s="31"/>
      <c r="D8" s="32">
        <f>+$B8</f>
        <v>0</v>
      </c>
      <c r="E8" s="32">
        <f>+$B8</f>
        <v>0</v>
      </c>
      <c r="F8" s="35"/>
    </row>
    <row r="9" spans="1:6" ht="13.5" thickBot="1">
      <c r="A9" s="36" t="s">
        <v>3</v>
      </c>
      <c r="B9" s="37">
        <f>SUM(B7:B8)</f>
        <v>90</v>
      </c>
      <c r="C9" s="37">
        <f>SUM(C7:C8)</f>
        <v>0</v>
      </c>
      <c r="D9" s="37">
        <f>SUM(D7:D8)</f>
        <v>90</v>
      </c>
      <c r="E9" s="37">
        <f>SUM(E7:E8)</f>
        <v>0</v>
      </c>
      <c r="F9" s="38">
        <f>SUM(F7:F8)</f>
        <v>90</v>
      </c>
    </row>
    <row r="10" spans="1:6" ht="13.5" thickTop="1">
      <c r="A10" s="25" t="s">
        <v>29</v>
      </c>
      <c r="B10" s="39"/>
      <c r="C10" s="40"/>
      <c r="D10" s="41"/>
      <c r="E10" s="41"/>
      <c r="F10" s="42"/>
    </row>
    <row r="11" spans="1:6" ht="12.75">
      <c r="A11" s="29" t="s">
        <v>30</v>
      </c>
      <c r="B11" s="30">
        <f>'Εσοδα κ'' δαπάνες'!B38</f>
        <v>21000</v>
      </c>
      <c r="D11" s="32">
        <f>+$B11</f>
        <v>21000</v>
      </c>
      <c r="E11" s="33"/>
      <c r="F11" s="34">
        <f>+$B11</f>
        <v>21000</v>
      </c>
    </row>
    <row r="12" spans="1:6" ht="12.75">
      <c r="A12" s="29" t="s">
        <v>31</v>
      </c>
      <c r="B12" s="30">
        <f>+'[1]Δεδομένα'!$C$16*'[1]Δεδομένα'!$B$17</f>
        <v>0</v>
      </c>
      <c r="C12" s="32">
        <f>+$B12</f>
        <v>0</v>
      </c>
      <c r="D12" s="33"/>
      <c r="E12" s="32">
        <f>+$B12</f>
        <v>0</v>
      </c>
      <c r="F12" s="35"/>
    </row>
    <row r="13" spans="1:6" ht="12.75">
      <c r="A13" s="87" t="s">
        <v>71</v>
      </c>
      <c r="B13" s="30">
        <f>'Εσοδα κ'' δαπάνες'!B41</f>
        <v>1524</v>
      </c>
      <c r="C13" s="32"/>
      <c r="D13" s="32">
        <f>B13</f>
        <v>1524</v>
      </c>
      <c r="E13" s="32">
        <f>B13</f>
        <v>1524</v>
      </c>
      <c r="F13" s="86"/>
    </row>
    <row r="14" spans="1:6" ht="13.5" thickBot="1">
      <c r="A14" s="60" t="s">
        <v>82</v>
      </c>
      <c r="B14" s="47">
        <f>((B11+B12+B13)*'Εσοδα κ'' δαπάνες'!B44)/2</f>
        <v>540.576</v>
      </c>
      <c r="C14" s="80"/>
      <c r="D14" s="80">
        <f>B14</f>
        <v>540.576</v>
      </c>
      <c r="E14" s="80"/>
      <c r="F14" s="81">
        <f>B14</f>
        <v>540.576</v>
      </c>
    </row>
    <row r="15" spans="1:6" ht="13.5" thickBot="1">
      <c r="A15" s="36" t="s">
        <v>3</v>
      </c>
      <c r="B15" s="43">
        <f>SUM(B11:B14)</f>
        <v>23064.576</v>
      </c>
      <c r="C15" s="43">
        <f>SUM(C11:C14)</f>
        <v>0</v>
      </c>
      <c r="D15" s="43">
        <f>SUM(D11:D14)</f>
        <v>23064.576</v>
      </c>
      <c r="E15" s="43">
        <f>SUM(E11:E14)</f>
        <v>1524</v>
      </c>
      <c r="F15" s="43">
        <f>SUM(F11:F14)</f>
        <v>21540.576</v>
      </c>
    </row>
    <row r="16" spans="1:6" ht="13.5" thickTop="1">
      <c r="A16" s="25" t="s">
        <v>32</v>
      </c>
      <c r="B16" s="39"/>
      <c r="C16" s="40"/>
      <c r="D16" s="41"/>
      <c r="E16" s="41"/>
      <c r="F16" s="42"/>
    </row>
    <row r="17" spans="1:6" ht="12.75">
      <c r="A17" s="44" t="s">
        <v>33</v>
      </c>
      <c r="B17" s="30"/>
      <c r="C17" s="31"/>
      <c r="D17" s="33"/>
      <c r="E17" s="33"/>
      <c r="F17" s="35"/>
    </row>
    <row r="18" spans="1:6" ht="24.75" customHeight="1">
      <c r="A18" s="29" t="s">
        <v>34</v>
      </c>
      <c r="B18" s="30">
        <f>'Δαπ.Κατασκευών &amp; αξία ζώων'!E10+('Δαπ.Κατασκευών &amp; αξία ζώων'!D17*'Εσοδα κ'' δαπάνες'!B5)</f>
        <v>24739.2</v>
      </c>
      <c r="C18" s="31"/>
      <c r="D18" s="32">
        <f>+$B18</f>
        <v>24739.2</v>
      </c>
      <c r="E18" s="32">
        <f>+$B18</f>
        <v>24739.2</v>
      </c>
      <c r="F18" s="35"/>
    </row>
    <row r="19" spans="1:6" ht="12.75">
      <c r="A19" s="45" t="s">
        <v>83</v>
      </c>
      <c r="B19" s="39">
        <f>('Δαπ.Κατασκευών &amp; αξία ζώων'!D12+'Δαπ.Κατασκευών &amp; αξία ζώων'!D28)*'Εσοδα κ'' δαπάνες'!B43</f>
        <v>8721.414799999999</v>
      </c>
      <c r="C19" s="40"/>
      <c r="D19" s="32">
        <f>+$B19</f>
        <v>8721.414799999999</v>
      </c>
      <c r="E19" s="41"/>
      <c r="F19" s="34">
        <f>+$B19</f>
        <v>8721.414799999999</v>
      </c>
    </row>
    <row r="20" spans="1:6" ht="12.75">
      <c r="A20" s="29" t="s">
        <v>130</v>
      </c>
      <c r="B20" s="39">
        <f>'Δαπ.Κατασκευών &amp; αξία ζώων'!D12*'Εσοδα κ'' δαπάνες'!B46</f>
        <v>760.784</v>
      </c>
      <c r="C20" s="31"/>
      <c r="D20" s="32">
        <f>+$B20</f>
        <v>760.784</v>
      </c>
      <c r="E20" s="32">
        <f>+$B20</f>
        <v>760.784</v>
      </c>
      <c r="F20" s="35"/>
    </row>
    <row r="21" spans="1:6" ht="12.75">
      <c r="A21" s="29" t="s">
        <v>131</v>
      </c>
      <c r="B21" s="39">
        <f>'Δαπ.Κατασκευών &amp; αξία ζώων'!D12*'Εσοδα κ'' δαπάνες'!B47</f>
        <v>631.4507199999999</v>
      </c>
      <c r="C21" s="31"/>
      <c r="D21" s="32">
        <f>+$B21</f>
        <v>631.4507199999999</v>
      </c>
      <c r="E21" s="32">
        <f>+$B21</f>
        <v>631.4507199999999</v>
      </c>
      <c r="F21" s="35"/>
    </row>
    <row r="22" spans="1:6" ht="13.5" thickBot="1">
      <c r="A22" s="46" t="s">
        <v>84</v>
      </c>
      <c r="B22" s="47">
        <f>((B20+B21)*'Εσοδα κ'' δαπάνες'!B44)/2</f>
        <v>33.41363328</v>
      </c>
      <c r="C22" s="48"/>
      <c r="D22" s="32">
        <f>+$B22</f>
        <v>33.41363328</v>
      </c>
      <c r="E22" s="49"/>
      <c r="F22" s="34">
        <f>+$B22</f>
        <v>33.41363328</v>
      </c>
    </row>
    <row r="23" spans="1:6" ht="13.5" thickBot="1">
      <c r="A23" s="36" t="s">
        <v>3</v>
      </c>
      <c r="B23" s="43">
        <f>SUM(B18:B22)</f>
        <v>34886.26315327999</v>
      </c>
      <c r="C23" s="43">
        <f>SUM(C18:C22)</f>
        <v>0</v>
      </c>
      <c r="D23" s="43">
        <f>SUM(D18:D22)</f>
        <v>34886.26315327999</v>
      </c>
      <c r="E23" s="43">
        <f>SUM(E18:E22)</f>
        <v>26131.43472</v>
      </c>
      <c r="F23" s="43">
        <f>SUM(F18:F22)</f>
        <v>8754.82843328</v>
      </c>
    </row>
    <row r="24" spans="1:6" ht="13.5" thickTop="1">
      <c r="A24" s="44" t="s">
        <v>35</v>
      </c>
      <c r="B24" s="50"/>
      <c r="C24" s="51"/>
      <c r="D24" s="52"/>
      <c r="E24" s="52"/>
      <c r="F24" s="53"/>
    </row>
    <row r="25" spans="1:6" ht="12.75">
      <c r="A25" s="29" t="s">
        <v>36</v>
      </c>
      <c r="B25" s="54">
        <f>'Εσοδα κ'' δαπάνες'!D29</f>
        <v>48930</v>
      </c>
      <c r="C25" s="55">
        <f>+$B25</f>
        <v>48930</v>
      </c>
      <c r="D25" s="55"/>
      <c r="E25" s="55">
        <f>+$B25-'[1]Δεδομένα'!D43</f>
        <v>48930</v>
      </c>
      <c r="F25" s="56">
        <f>+'[1]Δεδομένα'!D43</f>
        <v>0</v>
      </c>
    </row>
    <row r="26" spans="1:6" ht="12.75">
      <c r="A26" s="45" t="s">
        <v>132</v>
      </c>
      <c r="B26" s="57">
        <f>'Εσοδα κ'' δαπάνες'!B59*'Εσοδα κ'' δαπάνες'!B42</f>
        <v>745.5</v>
      </c>
      <c r="C26" s="55">
        <f>B26</f>
        <v>745.5</v>
      </c>
      <c r="D26" s="58"/>
      <c r="E26" s="55">
        <f>+$B26</f>
        <v>745.5</v>
      </c>
      <c r="F26" s="59"/>
    </row>
    <row r="27" spans="1:6" ht="12.75">
      <c r="A27" s="29" t="s">
        <v>37</v>
      </c>
      <c r="B27" s="54">
        <f>'Εσοδα κ'' δαπάνες'!B32+'Εσοδα κ'' δαπάνες'!B33+'Εσοδα κ'' δαπάνες'!B39</f>
        <v>4800</v>
      </c>
      <c r="C27" s="55">
        <f>+$B27</f>
        <v>4800</v>
      </c>
      <c r="D27" s="55"/>
      <c r="E27" s="55">
        <f>+$B27</f>
        <v>4800</v>
      </c>
      <c r="F27" s="56"/>
    </row>
    <row r="28" spans="1:6" ht="12.75">
      <c r="A28" s="29" t="s">
        <v>38</v>
      </c>
      <c r="B28" s="54">
        <f>'Εσοδα κ'' δαπάνες'!B40</f>
        <v>180</v>
      </c>
      <c r="C28" s="55">
        <f>+$B28</f>
        <v>180</v>
      </c>
      <c r="D28" s="55"/>
      <c r="E28" s="55">
        <f>+$B28</f>
        <v>180</v>
      </c>
      <c r="F28" s="56"/>
    </row>
    <row r="29" spans="1:6" ht="13.5" thickBot="1">
      <c r="A29" s="60" t="s">
        <v>85</v>
      </c>
      <c r="B29" s="61">
        <f>(SUM(B25:B28)*'Εσοδα κ'' δαπάνες'!B44)/2</f>
        <v>1311.732</v>
      </c>
      <c r="C29" s="55">
        <f>((C25+C26+C27+C28)*'Εσοδα κ'' δαπάνες'!B44)/2</f>
        <v>1311.732</v>
      </c>
      <c r="D29" s="55">
        <f>((D25+D26+D27+D28)*'Εσοδα κ'' δαπάνες'!B44)/2</f>
        <v>0</v>
      </c>
      <c r="E29" s="55">
        <v>0</v>
      </c>
      <c r="F29" s="62">
        <f>+B29-E29</f>
        <v>1311.732</v>
      </c>
    </row>
    <row r="30" spans="1:6" ht="13.5" thickBot="1">
      <c r="A30" s="63" t="s">
        <v>3</v>
      </c>
      <c r="B30" s="64">
        <f>SUM(B25:B29)</f>
        <v>55967.232</v>
      </c>
      <c r="C30" s="64">
        <f>SUM(C25:C29)</f>
        <v>55967.232</v>
      </c>
      <c r="D30" s="64">
        <f>SUM(D25:D29)</f>
        <v>0</v>
      </c>
      <c r="E30" s="64">
        <f>SUM(E25:E29)</f>
        <v>54655.5</v>
      </c>
      <c r="F30" s="65">
        <f>SUM(F25:F29)</f>
        <v>1311.732</v>
      </c>
    </row>
    <row r="31" spans="1:6" ht="13.5" thickBot="1">
      <c r="A31" s="66" t="s">
        <v>39</v>
      </c>
      <c r="B31" s="67">
        <f>+B9+B15+B23+B30</f>
        <v>114008.07115328</v>
      </c>
      <c r="C31" s="67">
        <f>+C9+C15+C23+C30</f>
        <v>55967.232</v>
      </c>
      <c r="D31" s="67">
        <f>+D9+D15+D23+D30</f>
        <v>58040.839153279994</v>
      </c>
      <c r="E31" s="67">
        <f>+E9+E15+E23+E30</f>
        <v>82310.93472</v>
      </c>
      <c r="F31" s="67">
        <f>+F9+F15+F23+F30</f>
        <v>31697.13643328</v>
      </c>
    </row>
    <row r="32" ht="13.5" thickTop="1">
      <c r="B32" s="68"/>
    </row>
  </sheetData>
  <mergeCells count="2">
    <mergeCell ref="A3:F3"/>
    <mergeCell ref="A2:D2"/>
  </mergeCells>
  <printOptions gridLines="1"/>
  <pageMargins left="0.23" right="0.17" top="0.5" bottom="0.47" header="0.17" footer="0.32"/>
  <pageSetup horizontalDpi="300" verticalDpi="300" orientation="landscape" paperSize="9" scale="95" r:id="rId1"/>
  <headerFooter alignWithMargins="0">
    <oddHeader>&amp;R&amp;"Arial Greek,Bold Italic\&amp;U&amp;A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6" sqref="C6"/>
    </sheetView>
  </sheetViews>
  <sheetFormatPr defaultColWidth="9.00390625" defaultRowHeight="12.75"/>
  <cols>
    <col min="1" max="1" width="39.875" style="0" customWidth="1"/>
    <col min="2" max="2" width="50.25390625" style="0" customWidth="1"/>
    <col min="3" max="3" width="18.375" style="0" customWidth="1"/>
  </cols>
  <sheetData>
    <row r="1" spans="1:4" ht="14.25" thickBot="1" thickTop="1">
      <c r="A1" s="69"/>
      <c r="B1" s="70"/>
      <c r="C1" s="71"/>
      <c r="D1" s="1"/>
    </row>
    <row r="2" spans="1:4" ht="25.5" thickBot="1" thickTop="1">
      <c r="A2" s="72" t="s">
        <v>93</v>
      </c>
      <c r="B2" s="70" t="s">
        <v>92</v>
      </c>
      <c r="C2" s="90">
        <f>(Δαπάνες!B31-'Εσοδα κ'' δαπάνες'!B57-'Εσοδα κ'' δαπάνες'!B58)/('Εσοδα κ'' δαπάνες'!B5*'Εσοδα κ'' δαπάνες'!B6)</f>
        <v>0.2500206952648205</v>
      </c>
      <c r="D2" s="1"/>
    </row>
    <row r="3" ht="13.5" thickTop="1">
      <c r="D3" s="1"/>
    </row>
    <row r="4" spans="1:4" ht="16.5" thickBot="1">
      <c r="A4" s="112" t="s">
        <v>40</v>
      </c>
      <c r="B4" s="112"/>
      <c r="C4" s="112"/>
      <c r="D4" s="1"/>
    </row>
    <row r="5" spans="1:4" ht="13.5" thickTop="1">
      <c r="A5" s="73" t="s">
        <v>41</v>
      </c>
      <c r="B5" s="74" t="s">
        <v>42</v>
      </c>
      <c r="C5" s="75" t="s">
        <v>43</v>
      </c>
      <c r="D5" s="1"/>
    </row>
    <row r="6" spans="1:4" ht="12.75">
      <c r="A6" s="102" t="s">
        <v>44</v>
      </c>
      <c r="B6" s="76" t="s">
        <v>45</v>
      </c>
      <c r="C6" s="103">
        <f>'Εσοδα κ'' δαπάνες'!B59</f>
        <v>149100</v>
      </c>
      <c r="D6" s="1"/>
    </row>
    <row r="7" spans="1:4" ht="12.75">
      <c r="A7" s="102" t="s">
        <v>46</v>
      </c>
      <c r="B7" s="77" t="s">
        <v>47</v>
      </c>
      <c r="C7" s="103">
        <f>C6-Δαπάνες!B31</f>
        <v>35091.928846719995</v>
      </c>
      <c r="D7" s="1"/>
    </row>
    <row r="8" spans="1:4" ht="12.75">
      <c r="A8" s="102" t="s">
        <v>48</v>
      </c>
      <c r="B8" s="77" t="s">
        <v>49</v>
      </c>
      <c r="C8" s="103">
        <f>C6-Δαπάνες!C31</f>
        <v>93132.768</v>
      </c>
      <c r="D8" s="1"/>
    </row>
    <row r="9" spans="1:4" ht="12.75">
      <c r="A9" s="102" t="s">
        <v>94</v>
      </c>
      <c r="B9" s="77" t="s">
        <v>50</v>
      </c>
      <c r="C9" s="103">
        <f>C6-Δαπάνες!E31</f>
        <v>66789.06528</v>
      </c>
      <c r="D9" s="1"/>
    </row>
    <row r="10" spans="1:3" ht="12.75">
      <c r="A10" s="102" t="s">
        <v>51</v>
      </c>
      <c r="B10" s="77" t="s">
        <v>52</v>
      </c>
      <c r="C10" s="103">
        <f>C7+Δαπάνες!B9+Δαπάνες!B14+Δαπάνες!B19+Δαπάνες!B22+Δαπάνες!B29</f>
        <v>45789.065279999995</v>
      </c>
    </row>
    <row r="11" spans="1:3" ht="12.75">
      <c r="A11" s="102" t="s">
        <v>53</v>
      </c>
      <c r="B11" s="77" t="s">
        <v>54</v>
      </c>
      <c r="C11" s="104">
        <f>C10/'Δαπ.Κατασκευών &amp; αξία ζώων'!C31</f>
        <v>0.30550810043341803</v>
      </c>
    </row>
    <row r="12" spans="1:3" ht="18" customHeight="1">
      <c r="A12" s="102" t="s">
        <v>55</v>
      </c>
      <c r="B12" s="78" t="s">
        <v>56</v>
      </c>
      <c r="C12" s="103">
        <f>C10</f>
        <v>45789.065279999995</v>
      </c>
    </row>
    <row r="13" spans="1:3" ht="12.75">
      <c r="A13" s="102" t="s">
        <v>57</v>
      </c>
      <c r="B13" s="77" t="s">
        <v>58</v>
      </c>
      <c r="C13" s="104">
        <f>C12/'Δαπ.Κατασκευών &amp; αξία ζώων'!C31</f>
        <v>0.30550810043341803</v>
      </c>
    </row>
    <row r="14" spans="1:3" ht="12.75">
      <c r="A14" s="102" t="s">
        <v>59</v>
      </c>
      <c r="B14" s="77" t="s">
        <v>60</v>
      </c>
      <c r="C14" s="103">
        <f>C7+Δαπάνες!B9</f>
        <v>35181.928846719995</v>
      </c>
    </row>
    <row r="15" spans="1:3" ht="12.75">
      <c r="A15" s="102" t="s">
        <v>61</v>
      </c>
      <c r="B15" s="77" t="s">
        <v>62</v>
      </c>
      <c r="C15" s="103">
        <f>C7+Δαπάνες!B15</f>
        <v>58156.504846719996</v>
      </c>
    </row>
    <row r="16" spans="1:3" ht="25.5">
      <c r="A16" s="105" t="s">
        <v>108</v>
      </c>
      <c r="B16" s="106" t="s">
        <v>109</v>
      </c>
      <c r="C16" s="107">
        <f>'Εσοδα κ'' δαπάνες'!B37/2240</f>
        <v>3.75</v>
      </c>
    </row>
    <row r="17" spans="1:3" ht="25.5">
      <c r="A17" s="108" t="s">
        <v>110</v>
      </c>
      <c r="B17" s="106" t="s">
        <v>111</v>
      </c>
      <c r="C17" s="109">
        <f>C9/C16</f>
        <v>17810.417407999998</v>
      </c>
    </row>
  </sheetData>
  <mergeCells count="1">
    <mergeCell ref="A4:C4"/>
  </mergeCells>
  <printOptions gridLines="1"/>
  <pageMargins left="0.89" right="0.37" top="0.55" bottom="0.46" header="0.32" footer="0.32"/>
  <pageSetup horizontalDpi="300" verticalDpi="300" orientation="landscape" paperSize="9" scale="85" r:id="rId1"/>
  <headerFooter alignWithMargins="0">
    <oddHeader>&amp;R&amp;"Arial Greek,Bold Italic\&amp;U&amp;A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tsiboukas</dc:creator>
  <cp:keywords/>
  <dc:description/>
  <cp:lastModifiedBy> </cp:lastModifiedBy>
  <cp:lastPrinted>2005-05-10T14:29:20Z</cp:lastPrinted>
  <dcterms:created xsi:type="dcterms:W3CDTF">2000-10-23T06:05:09Z</dcterms:created>
  <dcterms:modified xsi:type="dcterms:W3CDTF">2012-01-11T09:50:27Z</dcterms:modified>
  <cp:category/>
  <cp:version/>
  <cp:contentType/>
  <cp:contentStatus/>
</cp:coreProperties>
</file>