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05" windowHeight="6540" tabRatio="730" activeTab="0"/>
  </bookViews>
  <sheets>
    <sheet name="Δεδομένα" sheetId="1" r:id="rId1"/>
    <sheet name="Αποσβέσεις-ΜΕΚ" sheetId="2" r:id="rId2"/>
    <sheet name="Δαπάνες" sheetId="3" r:id="rId3"/>
    <sheet name="Οικ Αποτελέσματα" sheetId="4" r:id="rId4"/>
  </sheets>
  <definedNames>
    <definedName name="_xlnm.Print_Area" localSheetId="0">'Δεδομένα'!$A$19:$E$47</definedName>
  </definedNames>
  <calcPr fullCalcOnLoad="1"/>
</workbook>
</file>

<file path=xl/sharedStrings.xml><?xml version="1.0" encoding="utf-8"?>
<sst xmlns="http://schemas.openxmlformats.org/spreadsheetml/2006/main" count="322" uniqueCount="142">
  <si>
    <t>ΣΥΝΟΛΟ</t>
  </si>
  <si>
    <t>Παραγωγικές δαπάνες</t>
  </si>
  <si>
    <t>Μεταβλητές δαπάνες</t>
  </si>
  <si>
    <t>Σταθερές δαπάνες</t>
  </si>
  <si>
    <t>Εμφανείς δαπάνες</t>
  </si>
  <si>
    <t>1) Εδαφος</t>
  </si>
  <si>
    <t>α) ενοίκιο ιδιόκτητης γής</t>
  </si>
  <si>
    <t>ΣΥΝΤΕΛΕΣΤΕΣ ΠΑΡΑΓΩΓΗΣ</t>
  </si>
  <si>
    <t>β) ενοίκιο ενοικιαζόμενης γής</t>
  </si>
  <si>
    <t>2) Εργασία</t>
  </si>
  <si>
    <t>α) αμοιβή οικογενειακής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</si>
  <si>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</si>
  <si>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</si>
  <si>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</si>
  <si>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</si>
  <si>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</si>
  <si>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Μη εμφανείς δαπάνες</t>
  </si>
  <si>
    <t>ΠΙΝΑΚΑΣ  ΥΠΟΛΟΓΙΣΜΟΥ  ΕΤΗΣΙΩΝ  ΑΠΟΣΒΕΣΕΩΝ</t>
  </si>
  <si>
    <t>ΔΙΑΡΚΕΙΑ ΧΡΗΣΕΩΣ</t>
  </si>
  <si>
    <t>Ετη που πέρασαν</t>
  </si>
  <si>
    <t>Ετη που απομένουν</t>
  </si>
  <si>
    <t>Αρχή έτους</t>
  </si>
  <si>
    <t>Τέλος έτους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</si>
  <si>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</si>
  <si>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</si>
  <si>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</si>
  <si>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</si>
  <si>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</si>
  <si>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</si>
  <si>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</si>
  <si>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[Καθ. Κέρδος+Τόκοι+Ενοίκια]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</si>
  <si>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</si>
  <si>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</si>
  <si>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</si>
  <si>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</si>
  <si>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</si>
  <si>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</si>
  <si>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</si>
  <si>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</si>
  <si>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</si>
  <si>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Οικονομικό αποτέλεσμα</t>
  </si>
  <si>
    <t>Τύπος υπολογισμού</t>
  </si>
  <si>
    <t>Ποσό</t>
  </si>
  <si>
    <t>3) συντήρηση</t>
  </si>
  <si>
    <t>Αναλώσιμα υλικά που αγοράσθηκαν</t>
  </si>
  <si>
    <t>Πλατφόρμα</t>
  </si>
  <si>
    <t>ΣΥΝΟΛΟ  ΠΑΡΑΓΩΓΙΚΩΝ  ΔΑΠΑΝΩΝ</t>
  </si>
  <si>
    <t>Ιδιόκτητη γεωργική γή (στρ.)</t>
  </si>
  <si>
    <t>Τεκμαρτή αμοιβή (€/ώρα)</t>
  </si>
  <si>
    <t>Αξία αντικατάστασης (€)</t>
  </si>
  <si>
    <t>Υπολειμματική αξία (€)</t>
  </si>
  <si>
    <t>Σύνολο δαπάνης καλλιέργειας (€)</t>
  </si>
  <si>
    <t>Ωρες οικογενειακής εργασίας</t>
  </si>
  <si>
    <t>Σύνολο παραγωγικής ζωής (ετη)</t>
  </si>
  <si>
    <t>Πωλήσεις (Kgr)</t>
  </si>
  <si>
    <t>Αυτοκατανάλωση (Kgr)</t>
  </si>
  <si>
    <t>Φυτοφάρμακα (χαλκός)</t>
  </si>
  <si>
    <t>Λιπάσματα (11-15-15)</t>
  </si>
  <si>
    <t>Υπηρεσίες τρίτων &amp; λοιπές δαπάνες (€)</t>
  </si>
  <si>
    <t>Γενικές δαπάνες</t>
  </si>
  <si>
    <t>ΣΗΜΕΡΙΝΗ ΑΞΙΑ (€)</t>
  </si>
  <si>
    <t>Αποθήκη</t>
  </si>
  <si>
    <t>Ραντιστικό</t>
  </si>
  <si>
    <t>Σύνολο παραγωγικής ζωής</t>
  </si>
  <si>
    <t>Έτος αγοράς / εγκατάστασης</t>
  </si>
  <si>
    <t>Ετήσια απόσβεση (€)</t>
  </si>
  <si>
    <t>5) τόκοι συντήρησης &amp; ασφαλίστρων</t>
  </si>
  <si>
    <t>2) τόκοι παγίου κεφαλαίου</t>
  </si>
  <si>
    <t>4) ασφάλιστρα</t>
  </si>
  <si>
    <t>Τεκμαρτό ενοικιο εδάφους (€/στρ.)</t>
  </si>
  <si>
    <t>δ) τόκοι ξένης εργασίας</t>
  </si>
  <si>
    <t>Τιμή πώλησης (€/Kgr)</t>
  </si>
  <si>
    <t>Αξία 1 στρ. γεωργικής γής (€)</t>
  </si>
  <si>
    <t>Συνολική παραγωγή λαδιού (Kgr)</t>
  </si>
  <si>
    <t>Ωρες ξένης εργασίας</t>
  </si>
  <si>
    <t>Αμοιβή ξένης (€/ώρα)</t>
  </si>
  <si>
    <t>Επιστροφή ποιοτικού παρακρατήματος (€/στρ.)</t>
  </si>
  <si>
    <t>Είδος μονίμου κεφαλαίου</t>
  </si>
  <si>
    <t>Ελαιώνας</t>
  </si>
  <si>
    <t>Τρακτέρ 75 hp</t>
  </si>
  <si>
    <t>Εργαλεία ελαιοκαλλιέργειας, ελαιόπανα κλπ.</t>
  </si>
  <si>
    <t>Λιπασματοδιανομέας</t>
  </si>
  <si>
    <t>Αντλία πετρελαίου 75 hp</t>
  </si>
  <si>
    <t>Αυτοπροωθούμενο αρδευτικό μηχάνημα (καρούλι)</t>
  </si>
  <si>
    <t>Φυτεία ελιάς</t>
  </si>
  <si>
    <t>Φυτεία μηδικής</t>
  </si>
  <si>
    <t>Ωρες χρησιμοποίησης των μηχανημάτων στην καλλιέργεια του ελαιώνα</t>
  </si>
  <si>
    <t xml:space="preserve">Ωρες χρησιμοποίησης των μηχανημάτων στην καλλιέργεια της μηδικής </t>
  </si>
  <si>
    <t>Ποσοστό μερισμού στον ελαιώνα</t>
  </si>
  <si>
    <t>Ποσοστό μερισμού στη μηδική</t>
  </si>
  <si>
    <t>Στοιχεία μονίμου και ημιμονίμου κεφαλαίου εκμετάλλευσης</t>
  </si>
  <si>
    <t>Πετρέλαιο</t>
  </si>
  <si>
    <t>Ποσότητα ανναλωσίμου υλικού (κιλά ή λίτρα)</t>
  </si>
  <si>
    <t>Μηδική</t>
  </si>
  <si>
    <t>Παραγωγή σανού μηδικής (Kgr/ στρ)</t>
  </si>
  <si>
    <t>Συνολική παραγωγή σανού μηδικής (Kgr)</t>
  </si>
  <si>
    <t>Λιπάσμα (ασβεστουχος νιτρ. αμμωνια)</t>
  </si>
  <si>
    <t>Λιπάσμα (νιτρική αμμωνια) Ιούνιος</t>
  </si>
  <si>
    <t>Λιπάσμα (νιτρική αμμωνια) Αυγουστος</t>
  </si>
  <si>
    <t>Παραγωγή σανού μηδικής (δέματα των 30 Kgr/ στρ)</t>
  </si>
  <si>
    <t>Επιτόκιο βραχυπρόθεσμων χορηγήσεων (5,5%)</t>
  </si>
  <si>
    <t>Επιτόκιο μεσομακροπρόθεσμων χορηγήσεων (6,5%)</t>
  </si>
  <si>
    <t>Συντήρηση κτισμάτων (1% του ΜΕΚ)</t>
  </si>
  <si>
    <t>Συντήρηση μηχανημάτων (3% του ΜΕΚ)</t>
  </si>
  <si>
    <t>Ασφάλιστρα (0,15% του ΜΕΚ)</t>
  </si>
  <si>
    <t>Μόνιμο και ημιμόνιμο κεφαλαιο ελαιώνα</t>
  </si>
  <si>
    <t>Μόνιμο και ημιμόνιμο κεφαλαιο μηδικής</t>
  </si>
  <si>
    <t>Ποσοστό μερισμού της μηδικής</t>
  </si>
  <si>
    <t>Μέσο Επενδυμένο Κεφάλαιο (Μόνιμο και ημιμόνιμο πλην εδάφους), σε €</t>
  </si>
  <si>
    <t>Μέσο Επενδυμενο Κεφαλαιο Ελαιωνα (&amp; το εδαφος)</t>
  </si>
  <si>
    <t>Μέσο Επενδυμενο Κεφαλαιο κλάδου Μηδικής (&amp; το εδαφος)</t>
  </si>
  <si>
    <t>Μέσο Επενδυμενο Κεφαλαιο Εκμετάλλευσης</t>
  </si>
  <si>
    <t>ΠΙΝΑΚΑΣ  ΥΠΟΛΟΓΙΣΜΟΥ  ΕΤΗΣΙΩΝ  ΠΑΡΑΓΩΓΙΚΩΝ ΔΑΠΑΝΩΝ ΜΗΔΙΚΗΣ</t>
  </si>
  <si>
    <t>ΠΙΝΑΚΑΣ  ΥΠΟΛΟΓΙΣΜΟΥ  ΕΤΗΣΙΩΝ  ΠΑΡΑΓΩΓΙΚΩΝ ΔΑΠΑΝΩΝ ΕΚΜΕΤΑΛΛΕΥΣΗΣ</t>
  </si>
  <si>
    <t>ΠΙΝΑΚΑΣ  ΥΠΟΛΟΓΙΣΜΟΥ  ΕΤΗΣΙΩΝ  ΠΑΡΑΓΩΓΙΚΩΝ ΔΑΠΑΝΩΝ ΕΛΑΙΩΝΑ</t>
  </si>
  <si>
    <t>2) Ε.Λ.Γ.Α. ( 3%)</t>
  </si>
  <si>
    <t>3) υπηρεσίες τρίτων</t>
  </si>
  <si>
    <t>4) διάφορες άλλες δαπάνες</t>
  </si>
  <si>
    <t>5) τόκοι κυκλ.κεφαλαίου</t>
  </si>
  <si>
    <t>Κρατήσεις ΕΛΓΑ (3% επι της αξιας πωλήσεων)</t>
  </si>
  <si>
    <t>β) αμοιβή ξένης εργασίας</t>
  </si>
  <si>
    <t>γ) τόκοι οικογενειακής εργασίας</t>
  </si>
  <si>
    <t>Ελαιοτριβειο- μεταφορικά</t>
  </si>
  <si>
    <t>(Συν. Παραγ. δαπ./Συν. Παραγωγή)</t>
  </si>
  <si>
    <t>Γεωργικό εισόδημα παραγωγού</t>
  </si>
  <si>
    <t>Καθαρή πρόσοδοςή πρόσοδος κεφαλαίου</t>
  </si>
  <si>
    <t>Αποδοτικότητα κεφαλαίου(%)</t>
  </si>
  <si>
    <t>Κόστος παραγωγής ελαιολάδου(ευρώ/Kgr)</t>
  </si>
  <si>
    <t>ΠΙΝΑΚΑΣ  ΟΙΚΟΝΟΜΙΚΩΝ ΑΠΟΤΕΛΕΣΜΑΤΩΝ ΕΛΑΙΩΝΑ</t>
  </si>
  <si>
    <t>ΠΙΝΑΚΑΣ  ΟΙΚΟΝΟΜΙΚΩΝ ΑΠΟΤΕΛΕΣΜΑΤΩΝ ΜΗΔΙΚΗΣ</t>
  </si>
  <si>
    <t>Κόστος παραγωγής σανού μηδικής (ευρώ/Kgr)</t>
  </si>
  <si>
    <t>ΠΙΝΑΚΑΣ  ΟΙΚΟΝΟΜΙΚΩΝ ΑΠΟΤΕΛΕΣΜΑΤΩΝ ΕΚΜΕΤΑΛΛΕΥΣΗΣ</t>
  </si>
  <si>
    <t>Φυτοφάρμακο (Ultracide)</t>
  </si>
  <si>
    <t>Καλλιεργητής</t>
  </si>
  <si>
    <t>Ενοικίαση μηχανημάτων για κοπή και γύρισμα σανού (για 6 κοπές)</t>
  </si>
  <si>
    <t>Ενοικίαση μηχανημάτων δέσιμο σανού (6 κοπές)</t>
  </si>
  <si>
    <t>Φόρτωμα, ξεφόρτωμα, αποθήκευση σανού (6 κοπές)</t>
  </si>
  <si>
    <t xml:space="preserve">Συντήρηση </t>
  </si>
  <si>
    <t>Ασφάλιστρα</t>
  </si>
  <si>
    <t>Τοκοι δαπανών συντήρησης και Ασφαλίστρων</t>
  </si>
  <si>
    <t>Τόκοι επι του Μέσου Επενδυμένου Κεφαλαίου (Μ.Ε.Κ.)</t>
  </si>
  <si>
    <t>ΈΜΜΕΣΕΣ ΔΑΠΑΝΕΣ (€)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</si>
</sst>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-* #,##0.0\ &quot;Δρχ&quot;_-;\-* #,##0.0\ &quot;Δρχ&quot;_-;_-* &quot;-&quot;??\ &quot;Δρχ&quot;_-;_-@_-"/>
    <numFmt numFmtId="181" formatCode="_-* #,##0\ &quot;Δρχ&quot;_-;\-* #,##0\ &quot;Δρχ&quot;_-;_-* &quot;-&quot;??\ &quot;Δρχ&quot;_-;_-@_-"/>
    <numFmt numFmtId="182" formatCode="#,##0_ ;\-#,##0\ "/>
    <numFmt numFmtId="183" formatCode="0.0"/>
    <numFmt numFmtId="184" formatCode="#,##0.0"/>
    <numFmt numFmtId="185" formatCode="#,##0.00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Ναι&quot;;&quot;Ναι&quot;;&quot;'Οχι&quot;"/>
    <numFmt numFmtId="195" formatCode="&quot;Αληθές&quot;;&quot;Αληθές&quot;;&quot;Ψευδές&quot;"/>
    <numFmt numFmtId="196" formatCode="&quot;Ενεργοποίηση&quot;;&quot;Ενεργοποίηση&quot;;&quot;Απενεργοποίηση&quot;"/>
    <numFmt numFmtId="197" formatCode="0_ ;[Red]\-0\ "/>
    <numFmt numFmtId="198" formatCode="#,##0_ ;[Red]\-#,##0\ "/>
    <numFmt numFmtId="199" formatCode="#,##0.00000_ ;\-#,##0.00000\ "/>
    <numFmt numFmtId="200" formatCode="#,##0.00\ [$€-1];[Red]\-#,##0.00\ [$€-1]"/>
    <numFmt numFmtId="201" formatCode="[$€-2]\ #,##0.00_);[Red]\([$€-2]\ #,##0.00\)"/>
    <numFmt numFmtId="202" formatCode="_-* #,##0.00\ [$€-1]_-;\-* #,##0.00\ [$€-1]_-;_-* &quot;-&quot;??\ [$€-1]_-"/>
    <numFmt numFmtId="203" formatCode="#,##0.00_ ;\-#,##0.00\ "/>
    <numFmt numFmtId="204" formatCode="_-* #,##0.00\ [$€-1]_-;\-* #,##0.00\ [$€-1]_-;_-* &quot;-&quot;??\ [$€-1]_-;_-@_-"/>
    <numFmt numFmtId="205" formatCode="&quot;$&quot;#,##0"/>
  </numFmts>
  <fonts count="48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7" fillId="0" borderId="0" xfId="44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7" fillId="0" borderId="0" xfId="44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3" fontId="7" fillId="0" borderId="0" xfId="0" applyNumberFormat="1" applyFont="1" applyBorder="1" applyAlignment="1">
      <alignment vertical="center" wrapText="1"/>
    </xf>
    <xf numFmtId="183" fontId="7" fillId="0" borderId="0" xfId="44" applyNumberFormat="1" applyFont="1" applyBorder="1" applyAlignment="1">
      <alignment vertical="center" wrapText="1"/>
    </xf>
    <xf numFmtId="183" fontId="3" fillId="33" borderId="0" xfId="0" applyNumberFormat="1" applyFont="1" applyFill="1" applyBorder="1" applyAlignment="1">
      <alignment vertical="center" wrapText="1"/>
    </xf>
    <xf numFmtId="18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1" fontId="3" fillId="0" borderId="0" xfId="4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3" fontId="7" fillId="0" borderId="0" xfId="44" applyNumberFormat="1" applyFont="1" applyFill="1" applyBorder="1" applyAlignment="1">
      <alignment horizontal="right" vertical="center"/>
    </xf>
    <xf numFmtId="1" fontId="7" fillId="0" borderId="0" xfId="4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2" fontId="7" fillId="0" borderId="0" xfId="4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44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7" fillId="0" borderId="0" xfId="44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82" fontId="5" fillId="34" borderId="0" xfId="44" applyNumberFormat="1" applyFont="1" applyFill="1" applyBorder="1" applyAlignment="1">
      <alignment horizontal="left" vertical="center" indent="2"/>
    </xf>
    <xf numFmtId="182" fontId="6" fillId="34" borderId="0" xfId="44" applyNumberFormat="1" applyFont="1" applyFill="1" applyBorder="1" applyAlignment="1">
      <alignment horizontal="left" vertical="center" indent="2"/>
    </xf>
    <xf numFmtId="0" fontId="2" fillId="34" borderId="0" xfId="0" applyFont="1" applyFill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200" fontId="8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 indent="2"/>
    </xf>
    <xf numFmtId="182" fontId="6" fillId="35" borderId="0" xfId="44" applyNumberFormat="1" applyFont="1" applyFill="1" applyBorder="1" applyAlignment="1">
      <alignment horizontal="left" vertical="center" indent="4"/>
    </xf>
    <xf numFmtId="182" fontId="6" fillId="35" borderId="0" xfId="44" applyNumberFormat="1" applyFont="1" applyFill="1" applyBorder="1" applyAlignment="1">
      <alignment horizontal="left" vertical="center" wrapText="1" indent="4"/>
    </xf>
    <xf numFmtId="0" fontId="2" fillId="35" borderId="0" xfId="0" applyFont="1" applyFill="1" applyBorder="1" applyAlignment="1">
      <alignment horizontal="left" vertical="center" indent="4"/>
    </xf>
    <xf numFmtId="0" fontId="2" fillId="0" borderId="0" xfId="0" applyFont="1" applyBorder="1" applyAlignment="1">
      <alignment horizontal="left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7" fillId="0" borderId="0" xfId="44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1" fontId="0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37" borderId="15" xfId="0" applyNumberFormat="1" applyFont="1" applyFill="1" applyBorder="1" applyAlignment="1">
      <alignment vertical="center"/>
    </xf>
    <xf numFmtId="3" fontId="0" fillId="38" borderId="15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 wrapText="1"/>
    </xf>
    <xf numFmtId="4" fontId="3" fillId="0" borderId="0" xfId="44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202" fontId="3" fillId="0" borderId="0" xfId="46" applyFont="1" applyAlignment="1">
      <alignment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13" fillId="0" borderId="20" xfId="0" applyFont="1" applyBorder="1" applyAlignment="1">
      <alignment horizontal="left"/>
    </xf>
    <xf numFmtId="202" fontId="3" fillId="0" borderId="21" xfId="46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202" fontId="3" fillId="0" borderId="24" xfId="46" applyFont="1" applyBorder="1" applyAlignment="1">
      <alignment/>
    </xf>
    <xf numFmtId="0" fontId="1" fillId="0" borderId="0" xfId="0" applyFont="1" applyAlignment="1">
      <alignment/>
    </xf>
    <xf numFmtId="10" fontId="3" fillId="0" borderId="21" xfId="46" applyNumberFormat="1" applyFont="1" applyBorder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3" fontId="3" fillId="0" borderId="2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2" fontId="12" fillId="0" borderId="14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2" fontId="12" fillId="0" borderId="26" xfId="0" applyNumberFormat="1" applyFont="1" applyBorder="1" applyAlignment="1">
      <alignment horizontal="center" vertical="top" wrapText="1"/>
    </xf>
    <xf numFmtId="1" fontId="0" fillId="0" borderId="2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top" wrapText="1"/>
    </xf>
    <xf numFmtId="3" fontId="0" fillId="0" borderId="27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" fontId="0" fillId="40" borderId="10" xfId="0" applyNumberFormat="1" applyFont="1" applyFill="1" applyBorder="1" applyAlignment="1">
      <alignment vertical="center"/>
    </xf>
    <xf numFmtId="3" fontId="3" fillId="40" borderId="10" xfId="0" applyNumberFormat="1" applyFont="1" applyFill="1" applyBorder="1" applyAlignment="1">
      <alignment vertical="center"/>
    </xf>
    <xf numFmtId="1" fontId="0" fillId="40" borderId="25" xfId="0" applyNumberFormat="1" applyFont="1" applyFill="1" applyBorder="1" applyAlignment="1">
      <alignment vertical="center"/>
    </xf>
    <xf numFmtId="3" fontId="3" fillId="40" borderId="25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left" vertical="center" wrapText="1"/>
    </xf>
    <xf numFmtId="0" fontId="1" fillId="4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82" fontId="5" fillId="43" borderId="0" xfId="44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1">
      <selection activeCell="F35" sqref="F35"/>
    </sheetView>
  </sheetViews>
  <sheetFormatPr defaultColWidth="9.00390625" defaultRowHeight="15" customHeight="1"/>
  <cols>
    <col min="1" max="1" width="31.625" style="5" customWidth="1"/>
    <col min="2" max="10" width="16.75390625" style="5" customWidth="1"/>
    <col min="11" max="13" width="9.125" style="5" customWidth="1"/>
    <col min="14" max="14" width="11.375" style="5" customWidth="1"/>
    <col min="15" max="16384" width="9.125" style="5" customWidth="1"/>
  </cols>
  <sheetData>
    <row r="2" spans="1:4" ht="15" customHeight="1">
      <c r="A2" s="118" t="s">
        <v>90</v>
      </c>
      <c r="B2" s="118"/>
      <c r="C2" s="4"/>
      <c r="D2" s="10"/>
    </row>
    <row r="3" spans="1:9" ht="78" customHeight="1" thickBot="1">
      <c r="A3" s="45" t="s">
        <v>77</v>
      </c>
      <c r="B3" s="45" t="s">
        <v>49</v>
      </c>
      <c r="C3" s="45" t="s">
        <v>50</v>
      </c>
      <c r="D3" s="45" t="s">
        <v>63</v>
      </c>
      <c r="E3" s="45" t="s">
        <v>64</v>
      </c>
      <c r="F3" s="45" t="s">
        <v>86</v>
      </c>
      <c r="G3" s="45" t="s">
        <v>87</v>
      </c>
      <c r="H3" s="45" t="s">
        <v>88</v>
      </c>
      <c r="I3" s="45" t="s">
        <v>89</v>
      </c>
    </row>
    <row r="4" spans="1:9" ht="15" customHeight="1" thickBot="1">
      <c r="A4" s="47" t="s">
        <v>61</v>
      </c>
      <c r="B4" s="48">
        <v>8000</v>
      </c>
      <c r="C4" s="48">
        <v>0</v>
      </c>
      <c r="D4" s="48">
        <v>30</v>
      </c>
      <c r="E4" s="49">
        <v>1995</v>
      </c>
      <c r="F4" s="53"/>
      <c r="G4" s="53"/>
      <c r="H4" s="53">
        <v>0.2</v>
      </c>
      <c r="I4" s="53">
        <v>0.8</v>
      </c>
    </row>
    <row r="5" spans="1:9" ht="15" customHeight="1" thickBot="1">
      <c r="A5" s="50" t="s">
        <v>79</v>
      </c>
      <c r="B5" s="51">
        <v>2000</v>
      </c>
      <c r="C5" s="51">
        <v>0</v>
      </c>
      <c r="D5" s="51">
        <v>15</v>
      </c>
      <c r="E5" s="52">
        <v>2000</v>
      </c>
      <c r="F5" s="53">
        <v>24</v>
      </c>
      <c r="G5" s="54">
        <v>39</v>
      </c>
      <c r="H5" s="55">
        <f>F5/(F5+G5)</f>
        <v>0.38095238095238093</v>
      </c>
      <c r="I5" s="55">
        <f>1-H5</f>
        <v>0.6190476190476191</v>
      </c>
    </row>
    <row r="6" spans="1:9" ht="15" customHeight="1" thickBot="1">
      <c r="A6" s="50" t="s">
        <v>45</v>
      </c>
      <c r="B6" s="51">
        <v>2000</v>
      </c>
      <c r="C6" s="51">
        <v>0</v>
      </c>
      <c r="D6" s="51">
        <v>15</v>
      </c>
      <c r="E6" s="52">
        <v>1996</v>
      </c>
      <c r="F6" s="53">
        <v>1</v>
      </c>
      <c r="G6" s="54">
        <v>30</v>
      </c>
      <c r="H6" s="55">
        <f>F6/(F6+G6)</f>
        <v>0.03225806451612903</v>
      </c>
      <c r="I6" s="55">
        <f aca="true" t="shared" si="0" ref="I6:I12">1-H6</f>
        <v>0.967741935483871</v>
      </c>
    </row>
    <row r="7" spans="1:9" ht="15" customHeight="1" thickBot="1">
      <c r="A7" s="50" t="s">
        <v>62</v>
      </c>
      <c r="B7" s="51">
        <v>1100</v>
      </c>
      <c r="C7" s="51">
        <v>0</v>
      </c>
      <c r="D7" s="51">
        <v>15</v>
      </c>
      <c r="E7" s="52">
        <v>1999</v>
      </c>
      <c r="F7" s="53">
        <v>12</v>
      </c>
      <c r="G7" s="54">
        <v>0</v>
      </c>
      <c r="H7" s="55">
        <f>F7/(F7+G7)</f>
        <v>1</v>
      </c>
      <c r="I7" s="55">
        <f t="shared" si="0"/>
        <v>0</v>
      </c>
    </row>
    <row r="8" spans="1:9" ht="15" customHeight="1" thickBot="1">
      <c r="A8" s="50" t="s">
        <v>133</v>
      </c>
      <c r="B8" s="51">
        <v>1400</v>
      </c>
      <c r="C8" s="51">
        <v>0</v>
      </c>
      <c r="D8" s="51">
        <v>15</v>
      </c>
      <c r="E8" s="52">
        <v>1997</v>
      </c>
      <c r="F8" s="53">
        <v>1</v>
      </c>
      <c r="G8" s="54">
        <v>0</v>
      </c>
      <c r="H8" s="55">
        <f>F8/(F8+G8)</f>
        <v>1</v>
      </c>
      <c r="I8" s="55">
        <f t="shared" si="0"/>
        <v>0</v>
      </c>
    </row>
    <row r="9" spans="1:9" ht="15" customHeight="1" thickBot="1">
      <c r="A9" s="50" t="s">
        <v>80</v>
      </c>
      <c r="B9" s="51">
        <v>700</v>
      </c>
      <c r="C9" s="51">
        <v>0</v>
      </c>
      <c r="D9" s="51">
        <v>10</v>
      </c>
      <c r="E9" s="52">
        <v>2001</v>
      </c>
      <c r="F9" s="53"/>
      <c r="G9" s="54"/>
      <c r="H9" s="55">
        <v>1</v>
      </c>
      <c r="I9" s="55">
        <v>0</v>
      </c>
    </row>
    <row r="10" spans="1:9" ht="15" customHeight="1" thickBot="1">
      <c r="A10" s="50" t="s">
        <v>81</v>
      </c>
      <c r="B10" s="51">
        <v>1000</v>
      </c>
      <c r="C10" s="51">
        <v>0</v>
      </c>
      <c r="D10" s="51">
        <v>15</v>
      </c>
      <c r="E10" s="52">
        <v>1998</v>
      </c>
      <c r="F10" s="53">
        <v>0</v>
      </c>
      <c r="G10" s="54">
        <v>9</v>
      </c>
      <c r="H10" s="55">
        <f>F10/(F10+G10)</f>
        <v>0</v>
      </c>
      <c r="I10" s="55">
        <f t="shared" si="0"/>
        <v>1</v>
      </c>
    </row>
    <row r="11" spans="1:9" ht="15" customHeight="1" thickBot="1">
      <c r="A11" s="50" t="s">
        <v>82</v>
      </c>
      <c r="B11" s="51">
        <v>1200</v>
      </c>
      <c r="C11" s="51">
        <v>0</v>
      </c>
      <c r="D11" s="51">
        <v>15</v>
      </c>
      <c r="E11" s="52">
        <v>2001</v>
      </c>
      <c r="F11" s="53">
        <v>36</v>
      </c>
      <c r="G11" s="54">
        <v>500</v>
      </c>
      <c r="H11" s="55">
        <f>F11/(F11+G11)</f>
        <v>0.06716417910447761</v>
      </c>
      <c r="I11" s="55">
        <f t="shared" si="0"/>
        <v>0.9328358208955224</v>
      </c>
    </row>
    <row r="12" spans="1:9" ht="27.75" customHeight="1" thickBot="1">
      <c r="A12" s="50" t="s">
        <v>83</v>
      </c>
      <c r="B12" s="51">
        <v>1500</v>
      </c>
      <c r="C12" s="51">
        <v>0</v>
      </c>
      <c r="D12" s="51">
        <v>15</v>
      </c>
      <c r="E12" s="52">
        <v>2001</v>
      </c>
      <c r="F12" s="53">
        <v>0</v>
      </c>
      <c r="G12" s="54">
        <v>500</v>
      </c>
      <c r="H12" s="54">
        <f>F12/(F12+G12)</f>
        <v>0</v>
      </c>
      <c r="I12" s="54">
        <f t="shared" si="0"/>
        <v>1</v>
      </c>
    </row>
    <row r="13" spans="1:9" ht="15" customHeight="1" thickBot="1">
      <c r="A13" s="50" t="s">
        <v>84</v>
      </c>
      <c r="B13" s="51">
        <v>8500</v>
      </c>
      <c r="C13" s="51">
        <v>0</v>
      </c>
      <c r="D13" s="51">
        <v>50</v>
      </c>
      <c r="E13" s="51">
        <v>1989</v>
      </c>
      <c r="F13" s="53"/>
      <c r="G13" s="53"/>
      <c r="H13" s="54">
        <v>1</v>
      </c>
      <c r="I13" s="54">
        <v>0</v>
      </c>
    </row>
    <row r="14" spans="1:9" ht="15" customHeight="1" thickBot="1">
      <c r="A14" s="50" t="s">
        <v>85</v>
      </c>
      <c r="B14" s="51">
        <v>4000</v>
      </c>
      <c r="C14" s="51">
        <v>0</v>
      </c>
      <c r="D14" s="51">
        <v>4</v>
      </c>
      <c r="E14" s="51">
        <v>2007</v>
      </c>
      <c r="F14" s="53"/>
      <c r="G14" s="53"/>
      <c r="H14" s="53">
        <v>0</v>
      </c>
      <c r="I14" s="53">
        <v>1</v>
      </c>
    </row>
    <row r="19" spans="1:12" ht="15" customHeight="1">
      <c r="A19" s="120"/>
      <c r="B19" s="120"/>
      <c r="F19" s="94"/>
      <c r="G19" s="94"/>
      <c r="H19" s="94"/>
      <c r="I19" s="94"/>
      <c r="J19" s="94"/>
      <c r="K19" s="95"/>
      <c r="L19" s="94"/>
    </row>
    <row r="20" spans="1:12" ht="15" customHeight="1">
      <c r="A20" s="120" t="s">
        <v>78</v>
      </c>
      <c r="B20" s="120"/>
      <c r="F20" s="96"/>
      <c r="G20" s="95"/>
      <c r="H20" s="95"/>
      <c r="I20" s="95"/>
      <c r="J20" s="94"/>
      <c r="K20" s="95"/>
      <c r="L20" s="95"/>
    </row>
    <row r="21" spans="1:12" ht="15" customHeight="1">
      <c r="A21" s="1" t="s">
        <v>47</v>
      </c>
      <c r="B21" s="11">
        <v>10</v>
      </c>
      <c r="F21" s="96"/>
      <c r="G21" s="95"/>
      <c r="H21" s="95"/>
      <c r="I21" s="95"/>
      <c r="J21" s="94"/>
      <c r="K21" s="95"/>
      <c r="L21" s="94"/>
    </row>
    <row r="22" spans="1:12" ht="15" customHeight="1">
      <c r="A22" s="1" t="s">
        <v>69</v>
      </c>
      <c r="B22" s="12">
        <v>40</v>
      </c>
      <c r="F22" s="96"/>
      <c r="G22" s="95"/>
      <c r="H22" s="95"/>
      <c r="I22" s="95"/>
      <c r="J22" s="94"/>
      <c r="K22" s="95"/>
      <c r="L22" s="94"/>
    </row>
    <row r="23" spans="1:12" ht="15" customHeight="1">
      <c r="A23" s="7" t="s">
        <v>72</v>
      </c>
      <c r="B23" s="12">
        <v>800</v>
      </c>
      <c r="F23" s="96"/>
      <c r="G23" s="95"/>
      <c r="H23" s="95"/>
      <c r="I23" s="95"/>
      <c r="J23" s="94"/>
      <c r="K23" s="95"/>
      <c r="L23" s="94"/>
    </row>
    <row r="24" spans="1:12" ht="15" customHeight="1">
      <c r="A24" s="7" t="s">
        <v>73</v>
      </c>
      <c r="B24" s="12">
        <v>598</v>
      </c>
      <c r="F24" s="96"/>
      <c r="G24" s="95"/>
      <c r="H24" s="95"/>
      <c r="I24" s="95"/>
      <c r="J24" s="94"/>
      <c r="K24" s="95"/>
      <c r="L24" s="94"/>
    </row>
    <row r="25" spans="1:12" ht="15" customHeight="1">
      <c r="A25" s="40" t="s">
        <v>54</v>
      </c>
      <c r="B25" s="12">
        <v>400</v>
      </c>
      <c r="F25" s="96"/>
      <c r="G25" s="95"/>
      <c r="H25" s="95"/>
      <c r="I25" s="95"/>
      <c r="J25" s="94"/>
      <c r="K25" s="95"/>
      <c r="L25" s="94"/>
    </row>
    <row r="26" spans="1:12" ht="15" customHeight="1">
      <c r="A26" s="40" t="s">
        <v>55</v>
      </c>
      <c r="B26" s="12">
        <v>198</v>
      </c>
      <c r="F26" s="96"/>
      <c r="G26" s="95"/>
      <c r="H26" s="95"/>
      <c r="I26" s="95"/>
      <c r="J26" s="94"/>
      <c r="K26" s="95"/>
      <c r="L26" s="94"/>
    </row>
    <row r="27" spans="1:12" ht="15" customHeight="1">
      <c r="A27" s="1" t="s">
        <v>71</v>
      </c>
      <c r="B27" s="12">
        <v>3.5</v>
      </c>
      <c r="F27" s="96"/>
      <c r="G27" s="95"/>
      <c r="H27" s="95"/>
      <c r="I27" s="95"/>
      <c r="J27" s="94"/>
      <c r="K27" s="95"/>
      <c r="L27" s="94"/>
    </row>
    <row r="28" spans="1:12" ht="30" customHeight="1">
      <c r="A28" s="44" t="s">
        <v>76</v>
      </c>
      <c r="B28" s="12">
        <v>30</v>
      </c>
      <c r="F28" s="121"/>
      <c r="G28" s="122"/>
      <c r="H28" s="122"/>
      <c r="I28" s="122"/>
      <c r="J28" s="116"/>
      <c r="K28" s="95"/>
      <c r="L28" s="116"/>
    </row>
    <row r="29" spans="1:12" ht="15" customHeight="1">
      <c r="A29" s="7" t="s">
        <v>74</v>
      </c>
      <c r="B29" s="12">
        <v>124</v>
      </c>
      <c r="F29" s="121"/>
      <c r="G29" s="122"/>
      <c r="H29" s="122"/>
      <c r="I29" s="122"/>
      <c r="J29" s="116"/>
      <c r="K29" s="95"/>
      <c r="L29" s="116"/>
    </row>
    <row r="30" spans="1:12" ht="15" customHeight="1">
      <c r="A30" s="1" t="s">
        <v>75</v>
      </c>
      <c r="B30" s="12">
        <v>3</v>
      </c>
      <c r="F30" s="96"/>
      <c r="G30" s="95"/>
      <c r="H30" s="95"/>
      <c r="I30" s="95"/>
      <c r="J30" s="95"/>
      <c r="K30" s="95"/>
      <c r="L30" s="95"/>
    </row>
    <row r="31" spans="1:12" ht="15" customHeight="1">
      <c r="A31" s="7" t="s">
        <v>52</v>
      </c>
      <c r="B31" s="12">
        <v>245</v>
      </c>
      <c r="F31" s="96"/>
      <c r="G31" s="95"/>
      <c r="H31" s="95"/>
      <c r="I31" s="95"/>
      <c r="J31" s="95"/>
      <c r="K31" s="95"/>
      <c r="L31" s="95"/>
    </row>
    <row r="32" spans="1:2" ht="15" customHeight="1">
      <c r="A32" s="1" t="s">
        <v>48</v>
      </c>
      <c r="B32" s="12">
        <v>3</v>
      </c>
    </row>
    <row r="33" spans="1:6" ht="15" customHeight="1">
      <c r="A33" s="3"/>
      <c r="B33" s="8"/>
      <c r="C33" s="8"/>
      <c r="D33" s="9"/>
      <c r="E33" s="9"/>
      <c r="F33" s="9"/>
    </row>
    <row r="34" spans="1:2" ht="15" customHeight="1">
      <c r="A34" s="119" t="s">
        <v>44</v>
      </c>
      <c r="B34" s="119"/>
    </row>
    <row r="35" spans="2:7" ht="49.5" customHeight="1">
      <c r="B35" s="1" t="s">
        <v>92</v>
      </c>
      <c r="C35" s="1" t="s">
        <v>51</v>
      </c>
      <c r="G35" s="46"/>
    </row>
    <row r="36" spans="1:3" ht="15" customHeight="1">
      <c r="A36" s="1" t="s">
        <v>57</v>
      </c>
      <c r="B36" s="14">
        <v>620</v>
      </c>
      <c r="C36" s="14">
        <v>210</v>
      </c>
    </row>
    <row r="37" spans="1:3" ht="15" customHeight="1">
      <c r="A37" s="1" t="s">
        <v>56</v>
      </c>
      <c r="B37" s="14">
        <v>10</v>
      </c>
      <c r="C37" s="14">
        <v>42</v>
      </c>
    </row>
    <row r="38" spans="1:3" ht="15" customHeight="1">
      <c r="A38" s="1" t="s">
        <v>132</v>
      </c>
      <c r="B38" s="14">
        <v>2</v>
      </c>
      <c r="C38" s="14">
        <v>60</v>
      </c>
    </row>
    <row r="39" spans="1:3" ht="15" customHeight="1">
      <c r="A39" s="1" t="s">
        <v>91</v>
      </c>
      <c r="B39" s="14">
        <f>297+8+48+8+(32*3)+32</f>
        <v>489</v>
      </c>
      <c r="C39" s="11">
        <f>B39*0.8</f>
        <v>391.20000000000005</v>
      </c>
    </row>
    <row r="40" spans="1:3" ht="15" customHeight="1">
      <c r="A40" s="117" t="s">
        <v>0</v>
      </c>
      <c r="B40" s="117"/>
      <c r="C40" s="13">
        <f>SUM(C36:C39)</f>
        <v>703.2</v>
      </c>
    </row>
    <row r="41" spans="1:3" ht="15" customHeight="1">
      <c r="A41" s="1"/>
      <c r="B41" s="14"/>
      <c r="C41" s="11"/>
    </row>
    <row r="42" spans="1:4" ht="15" customHeight="1">
      <c r="A42" s="1"/>
      <c r="B42" s="6"/>
      <c r="C42" s="4"/>
      <c r="D42" s="10"/>
    </row>
    <row r="43" spans="1:9" ht="15" customHeight="1">
      <c r="A43" s="2"/>
      <c r="B43" s="22"/>
      <c r="C43" s="22"/>
      <c r="D43" s="23"/>
      <c r="E43" s="23"/>
      <c r="F43" s="23"/>
      <c r="G43" s="22"/>
      <c r="H43" s="22"/>
      <c r="I43" s="22"/>
    </row>
    <row r="44" spans="1:9" ht="15" customHeight="1">
      <c r="A44" s="1"/>
      <c r="B44" s="22"/>
      <c r="C44" s="22"/>
      <c r="D44" s="23"/>
      <c r="E44" s="23"/>
      <c r="H44" s="22"/>
      <c r="I44" s="22"/>
    </row>
    <row r="45" spans="1:4" ht="15" customHeight="1">
      <c r="A45" s="1"/>
      <c r="B45" s="6"/>
      <c r="C45" s="4"/>
      <c r="D45" s="10"/>
    </row>
    <row r="46" spans="1:4" ht="15" customHeight="1">
      <c r="A46" s="119" t="s">
        <v>58</v>
      </c>
      <c r="B46" s="119"/>
      <c r="C46" s="4"/>
      <c r="D46" s="10"/>
    </row>
    <row r="47" spans="1:4" ht="15" customHeight="1">
      <c r="A47" s="1" t="s">
        <v>122</v>
      </c>
      <c r="B47" s="12">
        <f>(B24*B27)*0.08</f>
        <v>167.44</v>
      </c>
      <c r="C47" s="4"/>
      <c r="D47" s="10"/>
    </row>
    <row r="48" spans="1:2" ht="15" customHeight="1">
      <c r="A48" s="1"/>
      <c r="B48" s="74"/>
    </row>
    <row r="50" spans="1:3" ht="15" customHeight="1">
      <c r="A50" s="1" t="s">
        <v>59</v>
      </c>
      <c r="B50" s="12">
        <v>20</v>
      </c>
      <c r="C50" s="4"/>
    </row>
    <row r="52" spans="1:2" ht="15" customHeight="1">
      <c r="A52" s="120"/>
      <c r="B52" s="120"/>
    </row>
    <row r="53" spans="1:2" ht="15" customHeight="1">
      <c r="A53" s="120" t="s">
        <v>93</v>
      </c>
      <c r="B53" s="120"/>
    </row>
    <row r="54" spans="1:2" ht="15" customHeight="1">
      <c r="A54" s="1" t="s">
        <v>47</v>
      </c>
      <c r="B54" s="11">
        <v>50</v>
      </c>
    </row>
    <row r="55" spans="1:2" ht="15" customHeight="1">
      <c r="A55" s="1" t="s">
        <v>69</v>
      </c>
      <c r="B55" s="12">
        <v>40</v>
      </c>
    </row>
    <row r="56" spans="1:2" ht="15" customHeight="1">
      <c r="A56" s="7" t="s">
        <v>72</v>
      </c>
      <c r="B56" s="12">
        <v>800</v>
      </c>
    </row>
    <row r="57" spans="1:2" ht="28.5" customHeight="1">
      <c r="A57" s="7" t="s">
        <v>94</v>
      </c>
      <c r="B57" s="12">
        <v>1650</v>
      </c>
    </row>
    <row r="58" spans="1:2" ht="28.5" customHeight="1">
      <c r="A58" s="7" t="s">
        <v>99</v>
      </c>
      <c r="B58" s="12">
        <f>B57/30</f>
        <v>55</v>
      </c>
    </row>
    <row r="59" spans="1:2" ht="33" customHeight="1">
      <c r="A59" s="7" t="s">
        <v>95</v>
      </c>
      <c r="B59" s="12">
        <f>B57*B54</f>
        <v>82500</v>
      </c>
    </row>
    <row r="60" spans="1:2" ht="29.25" customHeight="1">
      <c r="A60" s="1" t="s">
        <v>71</v>
      </c>
      <c r="B60" s="56">
        <v>0.18</v>
      </c>
    </row>
    <row r="61" spans="1:2" ht="15" customHeight="1">
      <c r="A61" s="7" t="s">
        <v>52</v>
      </c>
      <c r="B61" s="12">
        <f>15+(2.5*10)+300</f>
        <v>340</v>
      </c>
    </row>
    <row r="62" spans="1:2" ht="15" customHeight="1">
      <c r="A62" s="1" t="s">
        <v>48</v>
      </c>
      <c r="B62" s="12">
        <v>3</v>
      </c>
    </row>
    <row r="65" spans="1:2" ht="15" customHeight="1">
      <c r="A65" s="119" t="s">
        <v>44</v>
      </c>
      <c r="B65" s="119"/>
    </row>
    <row r="66" spans="2:3" ht="51.75" customHeight="1">
      <c r="B66" s="1" t="s">
        <v>92</v>
      </c>
      <c r="C66" s="1" t="s">
        <v>51</v>
      </c>
    </row>
    <row r="67" spans="1:3" ht="28.5" customHeight="1">
      <c r="A67" s="1" t="s">
        <v>96</v>
      </c>
      <c r="B67" s="14">
        <f>20*B54</f>
        <v>1000</v>
      </c>
      <c r="C67" s="14">
        <f>B67*0.24</f>
        <v>240</v>
      </c>
    </row>
    <row r="68" spans="1:3" ht="27.75" customHeight="1">
      <c r="A68" s="1" t="s">
        <v>97</v>
      </c>
      <c r="B68" s="14">
        <f>8*B54</f>
        <v>400</v>
      </c>
      <c r="C68" s="14">
        <f>B68*0.27</f>
        <v>108</v>
      </c>
    </row>
    <row r="69" spans="1:3" ht="30.75" customHeight="1">
      <c r="A69" s="1" t="s">
        <v>98</v>
      </c>
      <c r="B69" s="14">
        <f>8*50</f>
        <v>400</v>
      </c>
      <c r="C69" s="14">
        <f>B69*0.27</f>
        <v>108</v>
      </c>
    </row>
    <row r="70" spans="1:3" ht="15" customHeight="1">
      <c r="A70" s="1" t="s">
        <v>91</v>
      </c>
      <c r="B70" s="14">
        <f>72+4125+240</f>
        <v>4437</v>
      </c>
      <c r="C70" s="11">
        <f>B70*0.8</f>
        <v>3549.6000000000004</v>
      </c>
    </row>
    <row r="71" spans="1:3" ht="15" customHeight="1">
      <c r="A71" s="117" t="s">
        <v>0</v>
      </c>
      <c r="B71" s="117"/>
      <c r="C71" s="13">
        <f>SUM(C67:C70)</f>
        <v>4005.6000000000004</v>
      </c>
    </row>
    <row r="72" spans="1:3" ht="15" customHeight="1">
      <c r="A72" s="1"/>
      <c r="B72" s="14"/>
      <c r="C72" s="11"/>
    </row>
    <row r="73" spans="1:3" ht="15" customHeight="1">
      <c r="A73" s="1"/>
      <c r="B73" s="6"/>
      <c r="C73" s="4"/>
    </row>
    <row r="74" spans="1:3" ht="15" customHeight="1">
      <c r="A74" s="2"/>
      <c r="B74" s="22"/>
      <c r="C74" s="22"/>
    </row>
    <row r="75" spans="1:3" ht="15" customHeight="1">
      <c r="A75" s="1"/>
      <c r="B75" s="22"/>
      <c r="C75" s="22"/>
    </row>
    <row r="76" spans="1:3" ht="15" customHeight="1">
      <c r="A76" s="1"/>
      <c r="B76" s="6"/>
      <c r="C76" s="4"/>
    </row>
    <row r="77" spans="1:3" ht="15" customHeight="1">
      <c r="A77" s="119" t="s">
        <v>58</v>
      </c>
      <c r="B77" s="119"/>
      <c r="C77" s="4"/>
    </row>
    <row r="78" spans="1:3" ht="29.25" customHeight="1">
      <c r="A78" s="57" t="s">
        <v>134</v>
      </c>
      <c r="B78" s="58">
        <f>(10*B54)*6</f>
        <v>3000</v>
      </c>
      <c r="C78" s="4"/>
    </row>
    <row r="79" spans="1:3" ht="26.25" customHeight="1">
      <c r="A79" s="57" t="s">
        <v>135</v>
      </c>
      <c r="B79" s="58">
        <f>0.6*B58*B54</f>
        <v>1650</v>
      </c>
      <c r="C79" s="4"/>
    </row>
    <row r="80" spans="1:3" ht="26.25" customHeight="1">
      <c r="A80" s="57" t="s">
        <v>136</v>
      </c>
      <c r="B80" s="58">
        <f>0.4*B58*B54</f>
        <v>1100</v>
      </c>
      <c r="C80" s="4"/>
    </row>
    <row r="81" spans="1:2" ht="15" customHeight="1">
      <c r="A81" s="1" t="s">
        <v>0</v>
      </c>
      <c r="B81" s="13">
        <f>SUM(B78:B80)</f>
        <v>5750</v>
      </c>
    </row>
    <row r="82" spans="1:2" ht="15" customHeight="1">
      <c r="A82" s="1"/>
      <c r="B82" s="74"/>
    </row>
    <row r="83" spans="1:2" ht="15" customHeight="1">
      <c r="A83" s="1" t="s">
        <v>59</v>
      </c>
      <c r="B83" s="12">
        <v>50</v>
      </c>
    </row>
    <row r="85" spans="1:2" ht="15" customHeight="1">
      <c r="A85" s="46" t="s">
        <v>102</v>
      </c>
      <c r="B85" s="5">
        <v>0.01</v>
      </c>
    </row>
    <row r="86" spans="1:2" ht="26.25" customHeight="1">
      <c r="A86" s="46" t="s">
        <v>103</v>
      </c>
      <c r="B86" s="5">
        <v>0.03</v>
      </c>
    </row>
    <row r="87" spans="1:2" ht="15" customHeight="1">
      <c r="A87" s="46" t="s">
        <v>104</v>
      </c>
      <c r="B87" s="5">
        <v>0.0015</v>
      </c>
    </row>
    <row r="88" spans="1:2" ht="29.25" customHeight="1">
      <c r="A88" s="46" t="s">
        <v>100</v>
      </c>
      <c r="B88" s="5">
        <v>0.055</v>
      </c>
    </row>
    <row r="89" spans="1:2" ht="30.75" customHeight="1">
      <c r="A89" s="46" t="s">
        <v>101</v>
      </c>
      <c r="B89" s="5">
        <v>0.065</v>
      </c>
    </row>
    <row r="90" spans="1:2" ht="32.25" customHeight="1">
      <c r="A90" s="46" t="s">
        <v>119</v>
      </c>
      <c r="B90" s="5">
        <v>0.03</v>
      </c>
    </row>
  </sheetData>
  <sheetProtection/>
  <mergeCells count="17">
    <mergeCell ref="L28:L29"/>
    <mergeCell ref="F28:F29"/>
    <mergeCell ref="G28:G29"/>
    <mergeCell ref="H28:H29"/>
    <mergeCell ref="I28:I29"/>
    <mergeCell ref="A77:B77"/>
    <mergeCell ref="A52:B52"/>
    <mergeCell ref="A53:B53"/>
    <mergeCell ref="A65:B65"/>
    <mergeCell ref="A71:B71"/>
    <mergeCell ref="J28:J29"/>
    <mergeCell ref="A40:B40"/>
    <mergeCell ref="A2:B2"/>
    <mergeCell ref="A46:B46"/>
    <mergeCell ref="A34:B34"/>
    <mergeCell ref="A19:B19"/>
    <mergeCell ref="A20:B20"/>
  </mergeCells>
  <printOptions headings="1"/>
  <pageMargins left="0.35433070866141736" right="0.4330708661417323" top="0.984251968503937" bottom="0.984251968503937" header="0.5118110236220472" footer="0.5118110236220472"/>
  <pageSetup fitToWidth="2" horizontalDpi="300" verticalDpi="300" orientation="portrait" paperSize="9" scale="80" r:id="rId1"/>
  <headerFooter alignWithMargins="0">
    <oddHeader>&amp;L&amp;"Arial Greek,Bold Italic\&amp;U&amp;F&amp;R&amp;"Arial Greek,Bold Italic\&amp;A</oddHeader>
    <oddFooter>&amp;C&amp;"Arial Greek,Bold\Σελίδα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5">
      <selection activeCell="H22" sqref="H22"/>
    </sheetView>
  </sheetViews>
  <sheetFormatPr defaultColWidth="9.00390625" defaultRowHeight="15" customHeight="1"/>
  <cols>
    <col min="1" max="1" width="17.25390625" style="18" customWidth="1"/>
    <col min="2" max="2" width="21.25390625" style="18" customWidth="1"/>
    <col min="3" max="3" width="17.625" style="18" customWidth="1"/>
    <col min="4" max="4" width="21.375" style="18" customWidth="1"/>
    <col min="5" max="5" width="12.75390625" style="18" customWidth="1"/>
    <col min="6" max="6" width="14.125" style="18" customWidth="1"/>
    <col min="7" max="7" width="13.375" style="18" customWidth="1"/>
    <col min="8" max="9" width="12.75390625" style="18" customWidth="1"/>
    <col min="10" max="10" width="19.25390625" style="18" customWidth="1"/>
    <col min="11" max="11" width="18.25390625" style="18" customWidth="1"/>
    <col min="12" max="12" width="14.75390625" style="18" customWidth="1"/>
    <col min="13" max="13" width="12.375" style="18" customWidth="1"/>
    <col min="14" max="14" width="16.375" style="18" customWidth="1"/>
    <col min="15" max="15" width="11.375" style="18" customWidth="1"/>
    <col min="16" max="16" width="12.00390625" style="18" customWidth="1"/>
    <col min="17" max="16384" width="9.125" style="18" customWidth="1"/>
  </cols>
  <sheetData>
    <row r="1" spans="1:9" ht="15" customHeight="1" thickBot="1">
      <c r="A1" s="131" t="s">
        <v>17</v>
      </c>
      <c r="B1" s="131"/>
      <c r="C1" s="131"/>
      <c r="D1" s="131"/>
      <c r="E1" s="131"/>
      <c r="F1" s="131"/>
      <c r="G1" s="131"/>
      <c r="H1" s="131"/>
      <c r="I1" s="131"/>
    </row>
    <row r="2" spans="5:14" ht="15" customHeight="1" thickBot="1">
      <c r="E2" s="132" t="s">
        <v>18</v>
      </c>
      <c r="F2" s="133"/>
      <c r="H2" s="132" t="s">
        <v>60</v>
      </c>
      <c r="I2" s="133"/>
      <c r="K2" s="123" t="s">
        <v>141</v>
      </c>
      <c r="L2" s="124"/>
      <c r="M2" s="124"/>
      <c r="N2" s="125"/>
    </row>
    <row r="3" spans="1:16" ht="59.25" customHeight="1" thickBot="1">
      <c r="A3" s="17"/>
      <c r="B3" s="109" t="s">
        <v>49</v>
      </c>
      <c r="C3" s="110" t="s">
        <v>50</v>
      </c>
      <c r="D3" s="110" t="s">
        <v>53</v>
      </c>
      <c r="E3" s="111" t="s">
        <v>19</v>
      </c>
      <c r="F3" s="111" t="s">
        <v>20</v>
      </c>
      <c r="G3" s="110" t="s">
        <v>65</v>
      </c>
      <c r="H3" s="111" t="s">
        <v>21</v>
      </c>
      <c r="I3" s="111" t="s">
        <v>22</v>
      </c>
      <c r="J3" s="110" t="s">
        <v>108</v>
      </c>
      <c r="K3" s="111" t="s">
        <v>140</v>
      </c>
      <c r="L3" s="111" t="s">
        <v>137</v>
      </c>
      <c r="M3" s="111" t="s">
        <v>138</v>
      </c>
      <c r="N3" s="111" t="s">
        <v>139</v>
      </c>
      <c r="O3" s="3"/>
      <c r="P3" s="3"/>
    </row>
    <row r="4" spans="1:16" ht="15" customHeight="1" thickBot="1">
      <c r="A4" s="47" t="s">
        <v>61</v>
      </c>
      <c r="B4" s="48">
        <v>8000</v>
      </c>
      <c r="C4" s="48">
        <v>0</v>
      </c>
      <c r="D4" s="48">
        <v>30</v>
      </c>
      <c r="E4" s="49">
        <f>2008-Δεδομένα!E4</f>
        <v>13</v>
      </c>
      <c r="F4" s="65">
        <f>D4-E4</f>
        <v>17</v>
      </c>
      <c r="G4" s="66">
        <f>(B4-C4)/D4</f>
        <v>266.6666666666667</v>
      </c>
      <c r="H4" s="67">
        <f>(B4-(G4*E4))</f>
        <v>4533.333333333333</v>
      </c>
      <c r="I4" s="67">
        <f>H4-G4</f>
        <v>4266.666666666666</v>
      </c>
      <c r="J4" s="67">
        <f>(H4+I4)/2</f>
        <v>4400</v>
      </c>
      <c r="K4" s="67">
        <f>J4*Δεδομένα!$B$89</f>
        <v>286</v>
      </c>
      <c r="L4" s="67">
        <f>J4*Δεδομένα!B85</f>
        <v>44</v>
      </c>
      <c r="M4" s="66">
        <f>J4*Δεδομένα!$B$87</f>
        <v>6.6000000000000005</v>
      </c>
      <c r="N4" s="67">
        <f>(L4+M4)*Δεδομένα!$B$88*(6/12)</f>
        <v>1.3915</v>
      </c>
      <c r="O4" s="59"/>
      <c r="P4" s="60"/>
    </row>
    <row r="5" spans="1:16" ht="15" customHeight="1" thickBot="1">
      <c r="A5" s="50" t="s">
        <v>79</v>
      </c>
      <c r="B5" s="51">
        <v>2000</v>
      </c>
      <c r="C5" s="51">
        <v>0</v>
      </c>
      <c r="D5" s="51">
        <v>15</v>
      </c>
      <c r="E5" s="49">
        <f>2008-Δεδομένα!E5</f>
        <v>8</v>
      </c>
      <c r="F5" s="65">
        <f aca="true" t="shared" si="0" ref="F5:F14">D5-E5</f>
        <v>7</v>
      </c>
      <c r="G5" s="66">
        <f aca="true" t="shared" si="1" ref="G5:G14">(B5-C5)/D5</f>
        <v>133.33333333333334</v>
      </c>
      <c r="H5" s="67">
        <f aca="true" t="shared" si="2" ref="H5:H14">(B5-(G5*E5))</f>
        <v>933.3333333333333</v>
      </c>
      <c r="I5" s="67">
        <f aca="true" t="shared" si="3" ref="I5:I14">H5-G5</f>
        <v>799.9999999999999</v>
      </c>
      <c r="J5" s="67">
        <f aca="true" t="shared" si="4" ref="J5:J14">(H5+I5)/2</f>
        <v>866.6666666666665</v>
      </c>
      <c r="K5" s="67">
        <f>J5*Δεδομένα!$B$89</f>
        <v>56.33333333333333</v>
      </c>
      <c r="L5" s="67">
        <f>J5*Δεδομένα!$B$86</f>
        <v>25.999999999999993</v>
      </c>
      <c r="M5" s="66">
        <f>J5*Δεδομένα!$B$87</f>
        <v>1.2999999999999998</v>
      </c>
      <c r="N5" s="67">
        <f>(L5+M5)*Δεδομένα!$B$88*(6/12)</f>
        <v>0.7507499999999998</v>
      </c>
      <c r="O5" s="59"/>
      <c r="P5" s="60"/>
    </row>
    <row r="6" spans="1:16" ht="15" customHeight="1" thickBot="1">
      <c r="A6" s="50" t="s">
        <v>45</v>
      </c>
      <c r="B6" s="51">
        <v>2000</v>
      </c>
      <c r="C6" s="51">
        <v>0</v>
      </c>
      <c r="D6" s="51">
        <v>15</v>
      </c>
      <c r="E6" s="49">
        <f>2008-Δεδομένα!E6</f>
        <v>12</v>
      </c>
      <c r="F6" s="65">
        <f t="shared" si="0"/>
        <v>3</v>
      </c>
      <c r="G6" s="66">
        <f t="shared" si="1"/>
        <v>133.33333333333334</v>
      </c>
      <c r="H6" s="67">
        <f t="shared" si="2"/>
        <v>400</v>
      </c>
      <c r="I6" s="67">
        <f t="shared" si="3"/>
        <v>266.66666666666663</v>
      </c>
      <c r="J6" s="67">
        <f t="shared" si="4"/>
        <v>333.3333333333333</v>
      </c>
      <c r="K6" s="67">
        <f>J6*Δεδομένα!$B$89</f>
        <v>21.666666666666668</v>
      </c>
      <c r="L6" s="67">
        <f>J6*Δεδομένα!$B$86</f>
        <v>9.999999999999998</v>
      </c>
      <c r="M6" s="66">
        <f>J6*Δεδομένα!$B$87</f>
        <v>0.5</v>
      </c>
      <c r="N6" s="67">
        <f>(L6+M6)*Δεδομένα!$B$88*(6/12)</f>
        <v>0.28874999999999995</v>
      </c>
      <c r="O6" s="59"/>
      <c r="P6" s="60"/>
    </row>
    <row r="7" spans="1:16" ht="15" customHeight="1" thickBot="1">
      <c r="A7" s="50" t="s">
        <v>62</v>
      </c>
      <c r="B7" s="51">
        <v>1100</v>
      </c>
      <c r="C7" s="51">
        <v>0</v>
      </c>
      <c r="D7" s="51">
        <v>15</v>
      </c>
      <c r="E7" s="49">
        <f>2008-Δεδομένα!E7</f>
        <v>9</v>
      </c>
      <c r="F7" s="65">
        <f t="shared" si="0"/>
        <v>6</v>
      </c>
      <c r="G7" s="66">
        <f t="shared" si="1"/>
        <v>73.33333333333333</v>
      </c>
      <c r="H7" s="67">
        <f t="shared" si="2"/>
        <v>440</v>
      </c>
      <c r="I7" s="67">
        <f t="shared" si="3"/>
        <v>366.6666666666667</v>
      </c>
      <c r="J7" s="67">
        <f t="shared" si="4"/>
        <v>403.33333333333337</v>
      </c>
      <c r="K7" s="67">
        <f>J7*Δεδομένα!$B$89</f>
        <v>26.21666666666667</v>
      </c>
      <c r="L7" s="67">
        <f>J7*Δεδομένα!$B$86</f>
        <v>12.100000000000001</v>
      </c>
      <c r="M7" s="66">
        <f>J7*Δεδομένα!$B$87</f>
        <v>0.6050000000000001</v>
      </c>
      <c r="N7" s="67">
        <f>(L7+M7)*Δεδομένα!$B$88*(6/12)</f>
        <v>0.3493875000000001</v>
      </c>
      <c r="O7" s="59"/>
      <c r="P7" s="60"/>
    </row>
    <row r="8" spans="1:16" ht="15" customHeight="1" thickBot="1">
      <c r="A8" s="50" t="s">
        <v>133</v>
      </c>
      <c r="B8" s="51">
        <v>1400</v>
      </c>
      <c r="C8" s="51">
        <v>0</v>
      </c>
      <c r="D8" s="51">
        <v>15</v>
      </c>
      <c r="E8" s="49">
        <f>2008-Δεδομένα!E8</f>
        <v>11</v>
      </c>
      <c r="F8" s="65">
        <f t="shared" si="0"/>
        <v>4</v>
      </c>
      <c r="G8" s="66">
        <f t="shared" si="1"/>
        <v>93.33333333333333</v>
      </c>
      <c r="H8" s="67">
        <f t="shared" si="2"/>
        <v>373.3333333333335</v>
      </c>
      <c r="I8" s="67">
        <f t="shared" si="3"/>
        <v>280.00000000000017</v>
      </c>
      <c r="J8" s="67">
        <f t="shared" si="4"/>
        <v>326.66666666666686</v>
      </c>
      <c r="K8" s="67">
        <f>J8*Δεδομένα!$B$89</f>
        <v>21.233333333333345</v>
      </c>
      <c r="L8" s="67">
        <f>J8*Δεδομένα!$B$86</f>
        <v>9.800000000000006</v>
      </c>
      <c r="M8" s="66">
        <f>J8*Δεδομένα!$B$87</f>
        <v>0.49000000000000027</v>
      </c>
      <c r="N8" s="67">
        <f>(L8+M8)*Δεδομένα!$B$88*(6/12)</f>
        <v>0.2829750000000002</v>
      </c>
      <c r="O8" s="59"/>
      <c r="P8" s="60"/>
    </row>
    <row r="9" spans="1:16" ht="36" customHeight="1" thickBot="1">
      <c r="A9" s="50" t="s">
        <v>80</v>
      </c>
      <c r="B9" s="51">
        <v>700</v>
      </c>
      <c r="C9" s="51">
        <v>0</v>
      </c>
      <c r="D9" s="51">
        <v>10</v>
      </c>
      <c r="E9" s="49">
        <f>2008-Δεδομένα!E9</f>
        <v>7</v>
      </c>
      <c r="F9" s="65">
        <f t="shared" si="0"/>
        <v>3</v>
      </c>
      <c r="G9" s="66">
        <f t="shared" si="1"/>
        <v>70</v>
      </c>
      <c r="H9" s="67">
        <f t="shared" si="2"/>
        <v>210</v>
      </c>
      <c r="I9" s="67">
        <f t="shared" si="3"/>
        <v>140</v>
      </c>
      <c r="J9" s="67">
        <f t="shared" si="4"/>
        <v>175</v>
      </c>
      <c r="K9" s="67">
        <f>J9*Δεδομένα!$B$89</f>
        <v>11.375</v>
      </c>
      <c r="L9" s="67">
        <f>J9*Δεδομένα!$B$86</f>
        <v>5.25</v>
      </c>
      <c r="M9" s="66">
        <f>J9*Δεδομένα!$B$87</f>
        <v>0.2625</v>
      </c>
      <c r="N9" s="67">
        <f>(L9+M9)*Δεδομένα!$B$88*(6/12)</f>
        <v>0.15159375</v>
      </c>
      <c r="O9" s="59"/>
      <c r="P9" s="60"/>
    </row>
    <row r="10" spans="1:16" ht="15" customHeight="1" thickBot="1">
      <c r="A10" s="50" t="s">
        <v>81</v>
      </c>
      <c r="B10" s="51">
        <v>1000</v>
      </c>
      <c r="C10" s="51">
        <v>0</v>
      </c>
      <c r="D10" s="51">
        <v>15</v>
      </c>
      <c r="E10" s="49">
        <f>2008-Δεδομένα!E10</f>
        <v>10</v>
      </c>
      <c r="F10" s="65">
        <f t="shared" si="0"/>
        <v>5</v>
      </c>
      <c r="G10" s="66">
        <f t="shared" si="1"/>
        <v>66.66666666666667</v>
      </c>
      <c r="H10" s="67">
        <f t="shared" si="2"/>
        <v>333.33333333333326</v>
      </c>
      <c r="I10" s="67">
        <f t="shared" si="3"/>
        <v>266.6666666666666</v>
      </c>
      <c r="J10" s="67">
        <f t="shared" si="4"/>
        <v>299.9999999999999</v>
      </c>
      <c r="K10" s="67">
        <f>J10*Δεδομένα!$B$89</f>
        <v>19.499999999999993</v>
      </c>
      <c r="L10" s="67">
        <f>J10*Δεδομένα!$B$86</f>
        <v>8.999999999999996</v>
      </c>
      <c r="M10" s="66">
        <f>J10*Δεδομένα!$B$87</f>
        <v>0.44999999999999984</v>
      </c>
      <c r="N10" s="67">
        <f>(L10+M10)*Δεδομένα!$B$88*(6/12)</f>
        <v>0.2598749999999999</v>
      </c>
      <c r="O10" s="59"/>
      <c r="P10" s="60"/>
    </row>
    <row r="11" spans="1:16" ht="24.75" customHeight="1" thickBot="1">
      <c r="A11" s="50" t="s">
        <v>82</v>
      </c>
      <c r="B11" s="51">
        <v>1200</v>
      </c>
      <c r="C11" s="51">
        <v>0</v>
      </c>
      <c r="D11" s="51">
        <v>15</v>
      </c>
      <c r="E11" s="49">
        <f>2008-Δεδομένα!E11</f>
        <v>7</v>
      </c>
      <c r="F11" s="65">
        <f t="shared" si="0"/>
        <v>8</v>
      </c>
      <c r="G11" s="66">
        <f t="shared" si="1"/>
        <v>80</v>
      </c>
      <c r="H11" s="67">
        <f t="shared" si="2"/>
        <v>640</v>
      </c>
      <c r="I11" s="67">
        <f t="shared" si="3"/>
        <v>560</v>
      </c>
      <c r="J11" s="67">
        <f t="shared" si="4"/>
        <v>600</v>
      </c>
      <c r="K11" s="67">
        <f>J11*Δεδομένα!$B$89</f>
        <v>39</v>
      </c>
      <c r="L11" s="67">
        <f>J11*Δεδομένα!$B$86</f>
        <v>18</v>
      </c>
      <c r="M11" s="66">
        <f>J11*Δεδομένα!$B$87</f>
        <v>0.9</v>
      </c>
      <c r="N11" s="67">
        <f>(L11+M11)*Δεδομένα!$B$88*(6/12)</f>
        <v>0.5197499999999999</v>
      </c>
      <c r="O11" s="59"/>
      <c r="P11" s="59"/>
    </row>
    <row r="12" spans="1:14" ht="39.75" customHeight="1" thickBot="1">
      <c r="A12" s="50" t="s">
        <v>83</v>
      </c>
      <c r="B12" s="51">
        <v>1500</v>
      </c>
      <c r="C12" s="51">
        <v>0</v>
      </c>
      <c r="D12" s="51">
        <v>15</v>
      </c>
      <c r="E12" s="49">
        <f>2008-Δεδομένα!E12</f>
        <v>7</v>
      </c>
      <c r="F12" s="65">
        <f t="shared" si="0"/>
        <v>8</v>
      </c>
      <c r="G12" s="66">
        <f t="shared" si="1"/>
        <v>100</v>
      </c>
      <c r="H12" s="67">
        <f t="shared" si="2"/>
        <v>800</v>
      </c>
      <c r="I12" s="67">
        <f t="shared" si="3"/>
        <v>700</v>
      </c>
      <c r="J12" s="67">
        <f t="shared" si="4"/>
        <v>750</v>
      </c>
      <c r="K12" s="67">
        <f>J12*Δεδομένα!$B$89</f>
        <v>48.75</v>
      </c>
      <c r="L12" s="67">
        <f>J12*Δεδομένα!$B$86</f>
        <v>22.5</v>
      </c>
      <c r="M12" s="66">
        <f>J12*Δεδομένα!$B$87</f>
        <v>1.125</v>
      </c>
      <c r="N12" s="67">
        <f>(L12+M12)*Δεδομένα!$B$88*(6/12)</f>
        <v>0.6496875</v>
      </c>
    </row>
    <row r="13" spans="1:14" ht="15" customHeight="1" thickBot="1">
      <c r="A13" s="50" t="s">
        <v>84</v>
      </c>
      <c r="B13" s="51">
        <v>8500</v>
      </c>
      <c r="C13" s="51">
        <v>0</v>
      </c>
      <c r="D13" s="51">
        <v>50</v>
      </c>
      <c r="E13" s="49">
        <f>2008-Δεδομένα!E13</f>
        <v>19</v>
      </c>
      <c r="F13" s="65">
        <f t="shared" si="0"/>
        <v>31</v>
      </c>
      <c r="G13" s="66">
        <f t="shared" si="1"/>
        <v>170</v>
      </c>
      <c r="H13" s="67">
        <f t="shared" si="2"/>
        <v>5270</v>
      </c>
      <c r="I13" s="67">
        <f t="shared" si="3"/>
        <v>5100</v>
      </c>
      <c r="J13" s="67">
        <f t="shared" si="4"/>
        <v>5185</v>
      </c>
      <c r="K13" s="67">
        <f>J13*Δεδομένα!$B$89</f>
        <v>337.02500000000003</v>
      </c>
      <c r="L13" s="112">
        <v>0</v>
      </c>
      <c r="M13" s="113">
        <v>0</v>
      </c>
      <c r="N13" s="67">
        <f>(L13+M13)*Δεδομένα!$B$88*(6/12)</f>
        <v>0</v>
      </c>
    </row>
    <row r="14" spans="1:14" ht="15" customHeight="1" thickBot="1">
      <c r="A14" s="50" t="s">
        <v>85</v>
      </c>
      <c r="B14" s="51">
        <v>4000</v>
      </c>
      <c r="C14" s="51">
        <v>0</v>
      </c>
      <c r="D14" s="51">
        <v>4</v>
      </c>
      <c r="E14" s="49">
        <f>2008-Δεδομένα!E14</f>
        <v>1</v>
      </c>
      <c r="F14" s="65">
        <f t="shared" si="0"/>
        <v>3</v>
      </c>
      <c r="G14" s="97">
        <f t="shared" si="1"/>
        <v>1000</v>
      </c>
      <c r="H14" s="67">
        <f t="shared" si="2"/>
        <v>3000</v>
      </c>
      <c r="I14" s="67">
        <f t="shared" si="3"/>
        <v>2000</v>
      </c>
      <c r="J14" s="99">
        <f t="shared" si="4"/>
        <v>2500</v>
      </c>
      <c r="K14" s="99">
        <f>J14*Δεδομένα!$B$89</f>
        <v>162.5</v>
      </c>
      <c r="L14" s="114">
        <v>0</v>
      </c>
      <c r="M14" s="115">
        <v>0</v>
      </c>
      <c r="N14" s="67">
        <f>(L14+M14)*Δεδομένα!$B$88*(6/12)</f>
        <v>0</v>
      </c>
    </row>
    <row r="15" spans="1:14" ht="15" customHeight="1" thickBot="1">
      <c r="A15" s="130" t="s">
        <v>0</v>
      </c>
      <c r="B15" s="130"/>
      <c r="C15" s="16"/>
      <c r="D15" s="20"/>
      <c r="F15" s="21"/>
      <c r="G15" s="98">
        <f aca="true" t="shared" si="5" ref="G15:N15">SUM(G4:G14)</f>
        <v>2186.666666666667</v>
      </c>
      <c r="H15" s="61">
        <f t="shared" si="5"/>
        <v>16933.333333333332</v>
      </c>
      <c r="I15" s="61">
        <f t="shared" si="5"/>
        <v>14746.666666666668</v>
      </c>
      <c r="J15" s="98">
        <f t="shared" si="5"/>
        <v>15840</v>
      </c>
      <c r="K15" s="100">
        <f t="shared" si="5"/>
        <v>1029.6000000000001</v>
      </c>
      <c r="L15" s="100">
        <f t="shared" si="5"/>
        <v>156.65</v>
      </c>
      <c r="M15" s="100">
        <f t="shared" si="5"/>
        <v>12.2325</v>
      </c>
      <c r="N15" s="100">
        <f t="shared" si="5"/>
        <v>4.64426875</v>
      </c>
    </row>
    <row r="16" spans="1:10" ht="15" customHeight="1">
      <c r="A16" s="2"/>
      <c r="B16" s="2"/>
      <c r="C16" s="16"/>
      <c r="D16" s="20"/>
      <c r="F16" s="17"/>
      <c r="G16" s="17"/>
      <c r="H16" s="64"/>
      <c r="I16" s="62"/>
      <c r="J16" s="63"/>
    </row>
    <row r="17" spans="8:9" ht="15" customHeight="1">
      <c r="H17" s="15"/>
      <c r="I17" s="15"/>
    </row>
    <row r="18" spans="10:14" ht="15" customHeight="1">
      <c r="J18" s="102"/>
      <c r="K18" s="102"/>
      <c r="L18" s="102"/>
      <c r="M18" s="102"/>
      <c r="N18" s="102"/>
    </row>
    <row r="20" spans="2:5" ht="15" customHeight="1" thickBot="1">
      <c r="B20" s="129" t="s">
        <v>105</v>
      </c>
      <c r="C20" s="129"/>
      <c r="D20" s="129"/>
      <c r="E20" s="129"/>
    </row>
    <row r="21" spans="2:8" ht="78" customHeight="1" thickBot="1">
      <c r="B21" s="106" t="s">
        <v>88</v>
      </c>
      <c r="C21" s="106" t="s">
        <v>65</v>
      </c>
      <c r="D21" s="106" t="s">
        <v>108</v>
      </c>
      <c r="E21" s="106" t="s">
        <v>140</v>
      </c>
      <c r="F21" s="106" t="s">
        <v>137</v>
      </c>
      <c r="G21" s="106" t="s">
        <v>138</v>
      </c>
      <c r="H21" s="106" t="s">
        <v>139</v>
      </c>
    </row>
    <row r="22" spans="1:8" ht="15" customHeight="1" thickBot="1">
      <c r="A22" s="47" t="s">
        <v>61</v>
      </c>
      <c r="B22" s="107">
        <f>Δεδομένα!H4</f>
        <v>0.2</v>
      </c>
      <c r="C22" s="105">
        <f>G4*B22</f>
        <v>53.33333333333334</v>
      </c>
      <c r="D22" s="105">
        <f>J4*B22</f>
        <v>880</v>
      </c>
      <c r="E22" s="108">
        <f>K4*B22</f>
        <v>57.2</v>
      </c>
      <c r="F22" s="105">
        <f>L4*B22</f>
        <v>8.8</v>
      </c>
      <c r="G22" s="105">
        <f>M4*B22</f>
        <v>1.3200000000000003</v>
      </c>
      <c r="H22" s="108">
        <f>N4*B22</f>
        <v>0.2783</v>
      </c>
    </row>
    <row r="23" spans="1:8" ht="15" customHeight="1" thickBot="1">
      <c r="A23" s="50" t="s">
        <v>79</v>
      </c>
      <c r="B23" s="101">
        <f>Δεδομένα!H5</f>
        <v>0.38095238095238093</v>
      </c>
      <c r="C23" s="70">
        <f aca="true" t="shared" si="6" ref="C23:C32">G5*B23</f>
        <v>50.7936507936508</v>
      </c>
      <c r="D23" s="70">
        <f aca="true" t="shared" si="7" ref="D23:D32">J5*B23</f>
        <v>330.15873015873007</v>
      </c>
      <c r="E23" s="103">
        <f aca="true" t="shared" si="8" ref="E23:E32">K5*B23</f>
        <v>21.46031746031746</v>
      </c>
      <c r="F23" s="70">
        <f aca="true" t="shared" si="9" ref="F23:F32">L5*B23</f>
        <v>9.904761904761902</v>
      </c>
      <c r="G23" s="70">
        <f aca="true" t="shared" si="10" ref="G23:G32">M5*B23</f>
        <v>0.49523809523809514</v>
      </c>
      <c r="H23" s="103">
        <f aca="true" t="shared" si="11" ref="H23:H32">N5*B23</f>
        <v>0.2859999999999999</v>
      </c>
    </row>
    <row r="24" spans="1:8" ht="15" customHeight="1" thickBot="1">
      <c r="A24" s="50" t="s">
        <v>45</v>
      </c>
      <c r="B24" s="101">
        <f>Δεδομένα!H6</f>
        <v>0.03225806451612903</v>
      </c>
      <c r="C24" s="70">
        <f t="shared" si="6"/>
        <v>4.301075268817205</v>
      </c>
      <c r="D24" s="70">
        <f t="shared" si="7"/>
        <v>10.75268817204301</v>
      </c>
      <c r="E24" s="103">
        <f t="shared" si="8"/>
        <v>0.6989247311827957</v>
      </c>
      <c r="F24" s="70">
        <f t="shared" si="9"/>
        <v>0.32258064516129026</v>
      </c>
      <c r="G24" s="70">
        <f t="shared" si="10"/>
        <v>0.016129032258064516</v>
      </c>
      <c r="H24" s="103">
        <f t="shared" si="11"/>
        <v>0.009314516129032255</v>
      </c>
    </row>
    <row r="25" spans="1:8" ht="15" customHeight="1" thickBot="1">
      <c r="A25" s="50" t="s">
        <v>62</v>
      </c>
      <c r="B25" s="101">
        <f>Δεδομένα!H7</f>
        <v>1</v>
      </c>
      <c r="C25" s="70">
        <f t="shared" si="6"/>
        <v>73.33333333333333</v>
      </c>
      <c r="D25" s="70">
        <f t="shared" si="7"/>
        <v>403.33333333333337</v>
      </c>
      <c r="E25" s="103">
        <f t="shared" si="8"/>
        <v>26.21666666666667</v>
      </c>
      <c r="F25" s="70">
        <f t="shared" si="9"/>
        <v>12.100000000000001</v>
      </c>
      <c r="G25" s="70">
        <f t="shared" si="10"/>
        <v>0.6050000000000001</v>
      </c>
      <c r="H25" s="103">
        <f t="shared" si="11"/>
        <v>0.3493875000000001</v>
      </c>
    </row>
    <row r="26" spans="1:8" ht="15" customHeight="1" thickBot="1">
      <c r="A26" s="50" t="s">
        <v>133</v>
      </c>
      <c r="B26" s="101">
        <f>Δεδομένα!H8</f>
        <v>1</v>
      </c>
      <c r="C26" s="70">
        <f t="shared" si="6"/>
        <v>93.33333333333333</v>
      </c>
      <c r="D26" s="70">
        <f t="shared" si="7"/>
        <v>326.66666666666686</v>
      </c>
      <c r="E26" s="103">
        <f t="shared" si="8"/>
        <v>21.233333333333345</v>
      </c>
      <c r="F26" s="70">
        <f t="shared" si="9"/>
        <v>9.800000000000006</v>
      </c>
      <c r="G26" s="70">
        <f t="shared" si="10"/>
        <v>0.49000000000000027</v>
      </c>
      <c r="H26" s="103">
        <f t="shared" si="11"/>
        <v>0.2829750000000002</v>
      </c>
    </row>
    <row r="27" spans="1:8" ht="36" customHeight="1" thickBot="1">
      <c r="A27" s="50" t="s">
        <v>80</v>
      </c>
      <c r="B27" s="101">
        <f>Δεδομένα!H9</f>
        <v>1</v>
      </c>
      <c r="C27" s="70">
        <f t="shared" si="6"/>
        <v>70</v>
      </c>
      <c r="D27" s="70">
        <f t="shared" si="7"/>
        <v>175</v>
      </c>
      <c r="E27" s="103">
        <f t="shared" si="8"/>
        <v>11.375</v>
      </c>
      <c r="F27" s="70">
        <f t="shared" si="9"/>
        <v>5.25</v>
      </c>
      <c r="G27" s="70">
        <f t="shared" si="10"/>
        <v>0.2625</v>
      </c>
      <c r="H27" s="103">
        <f t="shared" si="11"/>
        <v>0.15159375</v>
      </c>
    </row>
    <row r="28" spans="1:8" ht="15" customHeight="1" thickBot="1">
      <c r="A28" s="50" t="s">
        <v>81</v>
      </c>
      <c r="B28" s="101">
        <f>Δεδομένα!H10</f>
        <v>0</v>
      </c>
      <c r="C28" s="70">
        <f t="shared" si="6"/>
        <v>0</v>
      </c>
      <c r="D28" s="70">
        <f t="shared" si="7"/>
        <v>0</v>
      </c>
      <c r="E28" s="103">
        <f t="shared" si="8"/>
        <v>0</v>
      </c>
      <c r="F28" s="70">
        <f t="shared" si="9"/>
        <v>0</v>
      </c>
      <c r="G28" s="70">
        <f t="shared" si="10"/>
        <v>0</v>
      </c>
      <c r="H28" s="103">
        <f t="shared" si="11"/>
        <v>0</v>
      </c>
    </row>
    <row r="29" spans="1:8" ht="28.5" customHeight="1" thickBot="1">
      <c r="A29" s="50" t="s">
        <v>82</v>
      </c>
      <c r="B29" s="101">
        <f>Δεδομένα!H11</f>
        <v>0.06716417910447761</v>
      </c>
      <c r="C29" s="70">
        <f t="shared" si="6"/>
        <v>5.3731343283582085</v>
      </c>
      <c r="D29" s="70">
        <f t="shared" si="7"/>
        <v>40.298507462686565</v>
      </c>
      <c r="E29" s="103">
        <f t="shared" si="8"/>
        <v>2.6194029850746268</v>
      </c>
      <c r="F29" s="70">
        <f t="shared" si="9"/>
        <v>1.208955223880597</v>
      </c>
      <c r="G29" s="70">
        <f t="shared" si="10"/>
        <v>0.06044776119402985</v>
      </c>
      <c r="H29" s="103">
        <f t="shared" si="11"/>
        <v>0.034908582089552234</v>
      </c>
    </row>
    <row r="30" spans="1:8" ht="24" customHeight="1" thickBot="1">
      <c r="A30" s="50" t="s">
        <v>83</v>
      </c>
      <c r="B30" s="68">
        <f>Δεδομένα!H12</f>
        <v>0</v>
      </c>
      <c r="C30" s="70">
        <f t="shared" si="6"/>
        <v>0</v>
      </c>
      <c r="D30" s="70">
        <f t="shared" si="7"/>
        <v>0</v>
      </c>
      <c r="E30" s="103">
        <f t="shared" si="8"/>
        <v>0</v>
      </c>
      <c r="F30" s="70">
        <f t="shared" si="9"/>
        <v>0</v>
      </c>
      <c r="G30" s="70">
        <f t="shared" si="10"/>
        <v>0</v>
      </c>
      <c r="H30" s="103">
        <f t="shared" si="11"/>
        <v>0</v>
      </c>
    </row>
    <row r="31" spans="1:8" ht="15" customHeight="1" thickBot="1">
      <c r="A31" s="50" t="s">
        <v>84</v>
      </c>
      <c r="B31" s="68">
        <f>Δεδομένα!H13</f>
        <v>1</v>
      </c>
      <c r="C31" s="70">
        <f t="shared" si="6"/>
        <v>170</v>
      </c>
      <c r="D31" s="70">
        <f t="shared" si="7"/>
        <v>5185</v>
      </c>
      <c r="E31" s="103">
        <f t="shared" si="8"/>
        <v>337.02500000000003</v>
      </c>
      <c r="F31" s="70">
        <f t="shared" si="9"/>
        <v>0</v>
      </c>
      <c r="G31" s="70">
        <f t="shared" si="10"/>
        <v>0</v>
      </c>
      <c r="H31" s="103">
        <f t="shared" si="11"/>
        <v>0</v>
      </c>
    </row>
    <row r="32" spans="1:8" ht="15" customHeight="1" thickBot="1">
      <c r="A32" s="50" t="s">
        <v>85</v>
      </c>
      <c r="B32" s="68">
        <f>Δεδομένα!H14</f>
        <v>0</v>
      </c>
      <c r="C32" s="70">
        <f t="shared" si="6"/>
        <v>0</v>
      </c>
      <c r="D32" s="70">
        <f t="shared" si="7"/>
        <v>0</v>
      </c>
      <c r="E32" s="103">
        <f t="shared" si="8"/>
        <v>0</v>
      </c>
      <c r="F32" s="70">
        <f t="shared" si="9"/>
        <v>0</v>
      </c>
      <c r="G32" s="70">
        <f t="shared" si="10"/>
        <v>0</v>
      </c>
      <c r="H32" s="103">
        <f t="shared" si="11"/>
        <v>0</v>
      </c>
    </row>
    <row r="33" spans="1:8" ht="15" customHeight="1" thickBot="1">
      <c r="A33" s="130" t="s">
        <v>0</v>
      </c>
      <c r="B33" s="130"/>
      <c r="C33" s="71">
        <f aca="true" t="shared" si="12" ref="C33:H33">SUM(C22:C32)</f>
        <v>520.4678603908262</v>
      </c>
      <c r="D33" s="71">
        <f t="shared" si="12"/>
        <v>7351.209925793461</v>
      </c>
      <c r="E33" s="71">
        <f t="shared" si="12"/>
        <v>477.8286451765749</v>
      </c>
      <c r="F33" s="71">
        <f t="shared" si="12"/>
        <v>47.3862977738038</v>
      </c>
      <c r="G33" s="71">
        <f t="shared" si="12"/>
        <v>3.2493148886901904</v>
      </c>
      <c r="H33" s="71">
        <f t="shared" si="12"/>
        <v>1.3924793482185847</v>
      </c>
    </row>
    <row r="34" ht="15" customHeight="1" thickBot="1"/>
    <row r="35" spans="1:3" ht="30" customHeight="1" thickBot="1">
      <c r="A35" s="126" t="s">
        <v>109</v>
      </c>
      <c r="B35" s="127"/>
      <c r="C35" s="72">
        <f>D33+(Δεδομένα!B21*Δεδομένα!B23)</f>
        <v>15351.20992579346</v>
      </c>
    </row>
    <row r="40" spans="2:5" ht="20.25" customHeight="1" thickBot="1">
      <c r="B40" s="129" t="s">
        <v>106</v>
      </c>
      <c r="C40" s="129"/>
      <c r="D40" s="129"/>
      <c r="E40" s="129"/>
    </row>
    <row r="41" spans="2:8" ht="84" customHeight="1" thickBot="1">
      <c r="B41" s="106" t="s">
        <v>107</v>
      </c>
      <c r="C41" s="106" t="s">
        <v>65</v>
      </c>
      <c r="D41" s="106" t="s">
        <v>108</v>
      </c>
      <c r="E41" s="106" t="s">
        <v>140</v>
      </c>
      <c r="F41" s="106" t="s">
        <v>137</v>
      </c>
      <c r="G41" s="106" t="s">
        <v>138</v>
      </c>
      <c r="H41" s="106" t="s">
        <v>139</v>
      </c>
    </row>
    <row r="42" spans="1:8" ht="15" customHeight="1" thickBot="1">
      <c r="A42" s="47" t="s">
        <v>61</v>
      </c>
      <c r="B42" s="104">
        <f>Δεδομένα!I4</f>
        <v>0.8</v>
      </c>
      <c r="C42" s="105">
        <f>B42*G4</f>
        <v>213.33333333333337</v>
      </c>
      <c r="D42" s="105">
        <f>J4*B42</f>
        <v>3520</v>
      </c>
      <c r="E42" s="105">
        <f>K4*B42</f>
        <v>228.8</v>
      </c>
      <c r="F42" s="105">
        <f>L4*B42</f>
        <v>35.2</v>
      </c>
      <c r="G42" s="105">
        <f>M4*B42</f>
        <v>5.280000000000001</v>
      </c>
      <c r="H42" s="105">
        <f>N4*B42</f>
        <v>1.1132</v>
      </c>
    </row>
    <row r="43" spans="1:8" ht="15" customHeight="1" thickBot="1">
      <c r="A43" s="50" t="s">
        <v>79</v>
      </c>
      <c r="B43" s="101">
        <f>Δεδομένα!I5</f>
        <v>0.6190476190476191</v>
      </c>
      <c r="C43" s="70">
        <f aca="true" t="shared" si="13" ref="C43:C52">B43*G5</f>
        <v>82.53968253968254</v>
      </c>
      <c r="D43" s="70">
        <f aca="true" t="shared" si="14" ref="D43:D52">J5*B43</f>
        <v>536.5079365079364</v>
      </c>
      <c r="E43" s="70">
        <f aca="true" t="shared" si="15" ref="E43:E52">K5*B43</f>
        <v>34.87301587301587</v>
      </c>
      <c r="F43" s="70">
        <f aca="true" t="shared" si="16" ref="F43:F51">L5*B43</f>
        <v>16.09523809523809</v>
      </c>
      <c r="G43" s="70">
        <f aca="true" t="shared" si="17" ref="G43:G52">M5*B43</f>
        <v>0.8047619047619047</v>
      </c>
      <c r="H43" s="70">
        <f aca="true" t="shared" si="18" ref="H43:H52">N5*B43</f>
        <v>0.4647499999999999</v>
      </c>
    </row>
    <row r="44" spans="1:8" ht="15" customHeight="1" thickBot="1">
      <c r="A44" s="50" t="s">
        <v>45</v>
      </c>
      <c r="B44" s="101">
        <f>Δεδομένα!I6</f>
        <v>0.967741935483871</v>
      </c>
      <c r="C44" s="70">
        <f t="shared" si="13"/>
        <v>129.03225806451613</v>
      </c>
      <c r="D44" s="70">
        <f t="shared" si="14"/>
        <v>322.5806451612903</v>
      </c>
      <c r="E44" s="70">
        <f t="shared" si="15"/>
        <v>20.967741935483872</v>
      </c>
      <c r="F44" s="70">
        <f t="shared" si="16"/>
        <v>9.677419354838708</v>
      </c>
      <c r="G44" s="70">
        <f t="shared" si="17"/>
        <v>0.4838709677419355</v>
      </c>
      <c r="H44" s="70">
        <f t="shared" si="18"/>
        <v>0.2794354838709677</v>
      </c>
    </row>
    <row r="45" spans="1:8" ht="15" customHeight="1" thickBot="1">
      <c r="A45" s="50" t="s">
        <v>62</v>
      </c>
      <c r="B45" s="101">
        <f>Δεδομένα!I7</f>
        <v>0</v>
      </c>
      <c r="C45" s="70">
        <f t="shared" si="13"/>
        <v>0</v>
      </c>
      <c r="D45" s="70">
        <f t="shared" si="14"/>
        <v>0</v>
      </c>
      <c r="E45" s="70">
        <f t="shared" si="15"/>
        <v>0</v>
      </c>
      <c r="F45" s="70">
        <f t="shared" si="16"/>
        <v>0</v>
      </c>
      <c r="G45" s="70">
        <f t="shared" si="17"/>
        <v>0</v>
      </c>
      <c r="H45" s="70">
        <f t="shared" si="18"/>
        <v>0</v>
      </c>
    </row>
    <row r="46" spans="1:8" ht="15" customHeight="1" thickBot="1">
      <c r="A46" s="50" t="s">
        <v>133</v>
      </c>
      <c r="B46" s="101">
        <f>Δεδομένα!I8</f>
        <v>0</v>
      </c>
      <c r="C46" s="70">
        <f t="shared" si="13"/>
        <v>0</v>
      </c>
      <c r="D46" s="70">
        <f t="shared" si="14"/>
        <v>0</v>
      </c>
      <c r="E46" s="70">
        <f t="shared" si="15"/>
        <v>0</v>
      </c>
      <c r="F46" s="70">
        <f t="shared" si="16"/>
        <v>0</v>
      </c>
      <c r="G46" s="70">
        <f t="shared" si="17"/>
        <v>0</v>
      </c>
      <c r="H46" s="70">
        <f t="shared" si="18"/>
        <v>0</v>
      </c>
    </row>
    <row r="47" spans="1:8" ht="36" customHeight="1" thickBot="1">
      <c r="A47" s="50" t="s">
        <v>80</v>
      </c>
      <c r="B47" s="101">
        <f>Δεδομένα!I9</f>
        <v>0</v>
      </c>
      <c r="C47" s="70">
        <f t="shared" si="13"/>
        <v>0</v>
      </c>
      <c r="D47" s="70">
        <f t="shared" si="14"/>
        <v>0</v>
      </c>
      <c r="E47" s="70">
        <f t="shared" si="15"/>
        <v>0</v>
      </c>
      <c r="F47" s="70">
        <f t="shared" si="16"/>
        <v>0</v>
      </c>
      <c r="G47" s="70">
        <f t="shared" si="17"/>
        <v>0</v>
      </c>
      <c r="H47" s="70">
        <f t="shared" si="18"/>
        <v>0</v>
      </c>
    </row>
    <row r="48" spans="1:8" ht="15" customHeight="1" thickBot="1">
      <c r="A48" s="50" t="s">
        <v>81</v>
      </c>
      <c r="B48" s="101">
        <f>Δεδομένα!I10</f>
        <v>1</v>
      </c>
      <c r="C48" s="70">
        <f t="shared" si="13"/>
        <v>66.66666666666667</v>
      </c>
      <c r="D48" s="70">
        <f t="shared" si="14"/>
        <v>299.9999999999999</v>
      </c>
      <c r="E48" s="70">
        <f t="shared" si="15"/>
        <v>19.499999999999993</v>
      </c>
      <c r="F48" s="70">
        <f t="shared" si="16"/>
        <v>8.999999999999996</v>
      </c>
      <c r="G48" s="70">
        <f t="shared" si="17"/>
        <v>0.44999999999999984</v>
      </c>
      <c r="H48" s="70">
        <f t="shared" si="18"/>
        <v>0.2598749999999999</v>
      </c>
    </row>
    <row r="49" spans="1:8" ht="24.75" customHeight="1" thickBot="1">
      <c r="A49" s="50" t="s">
        <v>82</v>
      </c>
      <c r="B49" s="101">
        <f>Δεδομένα!I11</f>
        <v>0.9328358208955224</v>
      </c>
      <c r="C49" s="70">
        <f t="shared" si="13"/>
        <v>74.6268656716418</v>
      </c>
      <c r="D49" s="70">
        <f t="shared" si="14"/>
        <v>559.7014925373135</v>
      </c>
      <c r="E49" s="70">
        <f t="shared" si="15"/>
        <v>36.38059701492537</v>
      </c>
      <c r="F49" s="70">
        <f>L11*B49</f>
        <v>16.791044776119403</v>
      </c>
      <c r="G49" s="70">
        <f t="shared" si="17"/>
        <v>0.8395522388059702</v>
      </c>
      <c r="H49" s="70">
        <f t="shared" si="18"/>
        <v>0.4848414179104477</v>
      </c>
    </row>
    <row r="50" spans="1:8" ht="36.75" customHeight="1" thickBot="1">
      <c r="A50" s="50" t="s">
        <v>83</v>
      </c>
      <c r="B50" s="69">
        <v>1</v>
      </c>
      <c r="C50" s="70">
        <f t="shared" si="13"/>
        <v>100</v>
      </c>
      <c r="D50" s="70">
        <f t="shared" si="14"/>
        <v>750</v>
      </c>
      <c r="E50" s="70">
        <f t="shared" si="15"/>
        <v>48.75</v>
      </c>
      <c r="F50" s="70">
        <f t="shared" si="16"/>
        <v>22.5</v>
      </c>
      <c r="G50" s="70">
        <f t="shared" si="17"/>
        <v>1.125</v>
      </c>
      <c r="H50" s="70">
        <f t="shared" si="18"/>
        <v>0.6496875</v>
      </c>
    </row>
    <row r="51" spans="1:8" ht="15" customHeight="1" thickBot="1">
      <c r="A51" s="50" t="s">
        <v>84</v>
      </c>
      <c r="B51" s="69">
        <v>0</v>
      </c>
      <c r="C51" s="70">
        <f t="shared" si="13"/>
        <v>0</v>
      </c>
      <c r="D51" s="70">
        <f t="shared" si="14"/>
        <v>0</v>
      </c>
      <c r="E51" s="70">
        <f t="shared" si="15"/>
        <v>0</v>
      </c>
      <c r="F51" s="70">
        <f t="shared" si="16"/>
        <v>0</v>
      </c>
      <c r="G51" s="70">
        <f t="shared" si="17"/>
        <v>0</v>
      </c>
      <c r="H51" s="70">
        <f t="shared" si="18"/>
        <v>0</v>
      </c>
    </row>
    <row r="52" spans="1:8" ht="15" customHeight="1" thickBot="1">
      <c r="A52" s="50" t="s">
        <v>85</v>
      </c>
      <c r="B52" s="68">
        <v>1</v>
      </c>
      <c r="C52" s="70">
        <f t="shared" si="13"/>
        <v>1000</v>
      </c>
      <c r="D52" s="70">
        <f t="shared" si="14"/>
        <v>2500</v>
      </c>
      <c r="E52" s="70">
        <f t="shared" si="15"/>
        <v>162.5</v>
      </c>
      <c r="F52" s="70">
        <f>L14*B52</f>
        <v>0</v>
      </c>
      <c r="G52" s="70">
        <f t="shared" si="17"/>
        <v>0</v>
      </c>
      <c r="H52" s="70">
        <f t="shared" si="18"/>
        <v>0</v>
      </c>
    </row>
    <row r="53" spans="1:8" ht="15" customHeight="1" thickBot="1">
      <c r="A53" s="130" t="s">
        <v>0</v>
      </c>
      <c r="B53" s="130"/>
      <c r="C53" s="71">
        <f aca="true" t="shared" si="19" ref="C53:H53">SUM(C42:C52)</f>
        <v>1666.1988062758405</v>
      </c>
      <c r="D53" s="71">
        <f t="shared" si="19"/>
        <v>8488.79007420654</v>
      </c>
      <c r="E53" s="71">
        <f t="shared" si="19"/>
        <v>551.7713548234251</v>
      </c>
      <c r="F53" s="71">
        <f t="shared" si="19"/>
        <v>109.2637022261962</v>
      </c>
      <c r="G53" s="71">
        <f t="shared" si="19"/>
        <v>8.983185111309812</v>
      </c>
      <c r="H53" s="71">
        <f t="shared" si="19"/>
        <v>3.2517894017814157</v>
      </c>
    </row>
    <row r="55" ht="15" customHeight="1" thickBot="1"/>
    <row r="56" spans="1:3" ht="31.5" customHeight="1" thickBot="1">
      <c r="A56" s="126" t="s">
        <v>110</v>
      </c>
      <c r="B56" s="127"/>
      <c r="C56" s="72">
        <f>D53+(Δεδομένα!B54*Δεδομένα!B56)</f>
        <v>48488.79007420654</v>
      </c>
    </row>
    <row r="60" ht="15" customHeight="1" thickBot="1"/>
    <row r="61" spans="1:3" ht="36" customHeight="1" thickBot="1">
      <c r="A61" s="128" t="s">
        <v>111</v>
      </c>
      <c r="B61" s="128"/>
      <c r="C61" s="73">
        <f>C35+C56</f>
        <v>63840</v>
      </c>
    </row>
  </sheetData>
  <sheetProtection/>
  <mergeCells count="12">
    <mergeCell ref="A35:B35"/>
    <mergeCell ref="A15:B15"/>
    <mergeCell ref="K2:N2"/>
    <mergeCell ref="A56:B56"/>
    <mergeCell ref="A61:B61"/>
    <mergeCell ref="B40:E40"/>
    <mergeCell ref="A53:B53"/>
    <mergeCell ref="A1:I1"/>
    <mergeCell ref="E2:F2"/>
    <mergeCell ref="H2:I2"/>
    <mergeCell ref="A33:B33"/>
    <mergeCell ref="B20:E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Greek,Bold\&amp;U&amp;F&amp;R&amp;"Arial Greek,Bold Italic\&amp;A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="90" zoomScaleNormal="90" zoomScalePageLayoutView="0" workbookViewId="0" topLeftCell="A1">
      <selection activeCell="B12" sqref="B12"/>
    </sheetView>
  </sheetViews>
  <sheetFormatPr defaultColWidth="9.00390625" defaultRowHeight="15" customHeight="1"/>
  <cols>
    <col min="1" max="1" width="53.125" style="30" customWidth="1"/>
    <col min="2" max="6" width="13.00390625" style="30" customWidth="1"/>
    <col min="7" max="7" width="9.125" style="30" customWidth="1"/>
    <col min="8" max="9" width="9.875" style="30" bestFit="1" customWidth="1"/>
    <col min="10" max="16384" width="9.125" style="30" customWidth="1"/>
  </cols>
  <sheetData>
    <row r="1" spans="1:6" ht="15" customHeight="1">
      <c r="A1" s="135" t="s">
        <v>114</v>
      </c>
      <c r="B1" s="135"/>
      <c r="C1" s="135"/>
      <c r="D1" s="135"/>
      <c r="E1" s="135"/>
      <c r="F1" s="135"/>
    </row>
    <row r="3" spans="1:6" ht="30" customHeight="1">
      <c r="A3" s="24" t="s">
        <v>7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16</v>
      </c>
    </row>
    <row r="4" spans="1:6" ht="15" customHeight="1">
      <c r="A4" s="134" t="s">
        <v>5</v>
      </c>
      <c r="B4" s="134"/>
      <c r="C4" s="134"/>
      <c r="D4" s="134"/>
      <c r="E4" s="134"/>
      <c r="F4" s="134"/>
    </row>
    <row r="5" spans="1:6" ht="15" customHeight="1">
      <c r="A5" s="36" t="s">
        <v>6</v>
      </c>
      <c r="B5" s="31">
        <f>Δεδομένα!B21*Δεδομένα!B22</f>
        <v>400</v>
      </c>
      <c r="C5" s="31"/>
      <c r="D5" s="32">
        <f>+$B5</f>
        <v>400</v>
      </c>
      <c r="E5" s="32"/>
      <c r="F5" s="32">
        <f>+$B5</f>
        <v>400</v>
      </c>
    </row>
    <row r="6" spans="1:6" ht="15" customHeight="1">
      <c r="A6" s="36" t="s">
        <v>8</v>
      </c>
      <c r="B6" s="31">
        <v>0</v>
      </c>
      <c r="C6" s="31"/>
      <c r="D6" s="32">
        <f>+$B6</f>
        <v>0</v>
      </c>
      <c r="E6" s="32">
        <f>+$B6</f>
        <v>0</v>
      </c>
      <c r="F6" s="32"/>
    </row>
    <row r="7" spans="1:6" ht="15" customHeight="1">
      <c r="A7" s="37" t="s">
        <v>0</v>
      </c>
      <c r="B7" s="33">
        <f>SUM(B5:B6)</f>
        <v>400</v>
      </c>
      <c r="C7" s="33">
        <f>SUM(C5:C6)</f>
        <v>0</v>
      </c>
      <c r="D7" s="33">
        <f>SUM(D5:D6)</f>
        <v>400</v>
      </c>
      <c r="E7" s="33">
        <f>SUM(E5:E6)</f>
        <v>0</v>
      </c>
      <c r="F7" s="33">
        <f>SUM(F5:F6)</f>
        <v>400</v>
      </c>
    </row>
    <row r="8" spans="1:6" ht="15" customHeight="1">
      <c r="A8" s="134" t="s">
        <v>9</v>
      </c>
      <c r="B8" s="134"/>
      <c r="C8" s="134"/>
      <c r="D8" s="134"/>
      <c r="E8" s="134"/>
      <c r="F8" s="134"/>
    </row>
    <row r="9" spans="1:6" ht="15" customHeight="1">
      <c r="A9" s="36" t="s">
        <v>10</v>
      </c>
      <c r="B9" s="31">
        <f>Δεδομένα!B31*Δεδομένα!B32</f>
        <v>735</v>
      </c>
      <c r="C9" s="34"/>
      <c r="D9" s="32">
        <f>+$B9</f>
        <v>735</v>
      </c>
      <c r="E9" s="32"/>
      <c r="F9" s="32">
        <f>+$B9</f>
        <v>735</v>
      </c>
    </row>
    <row r="10" spans="1:6" ht="15" customHeight="1">
      <c r="A10" s="36" t="s">
        <v>120</v>
      </c>
      <c r="B10" s="31">
        <f>Δεδομένα!B29*Δεδομένα!B30</f>
        <v>372</v>
      </c>
      <c r="C10" s="32">
        <f>+$B10</f>
        <v>372</v>
      </c>
      <c r="D10" s="32"/>
      <c r="E10" s="32">
        <f>+$B10</f>
        <v>372</v>
      </c>
      <c r="F10" s="32"/>
    </row>
    <row r="11" spans="1:6" ht="15" customHeight="1">
      <c r="A11" s="36" t="s">
        <v>121</v>
      </c>
      <c r="B11" s="31">
        <f>B9*Δεδομένα!B88/2</f>
        <v>20.2125</v>
      </c>
      <c r="C11" s="32"/>
      <c r="D11" s="32">
        <f>B11</f>
        <v>20.2125</v>
      </c>
      <c r="E11" s="32"/>
      <c r="F11" s="32">
        <f>B11</f>
        <v>20.2125</v>
      </c>
    </row>
    <row r="12" spans="1:6" ht="15" customHeight="1">
      <c r="A12" s="36" t="s">
        <v>70</v>
      </c>
      <c r="B12" s="31">
        <f>B10*Δεδομένα!B88/2</f>
        <v>10.23</v>
      </c>
      <c r="C12" s="32">
        <f>B12</f>
        <v>10.23</v>
      </c>
      <c r="D12" s="32"/>
      <c r="E12" s="32"/>
      <c r="F12" s="32">
        <f>B12</f>
        <v>10.23</v>
      </c>
    </row>
    <row r="13" spans="1:6" ht="15" customHeight="1">
      <c r="A13" s="37" t="s">
        <v>0</v>
      </c>
      <c r="B13" s="33">
        <f>SUM(B9:B12)</f>
        <v>1137.4425</v>
      </c>
      <c r="C13" s="33">
        <f>SUM(C9:C12)</f>
        <v>382.23</v>
      </c>
      <c r="D13" s="33">
        <f>SUM(D9:D12)</f>
        <v>755.2125</v>
      </c>
      <c r="E13" s="33">
        <f>SUM(E9:E12)</f>
        <v>372</v>
      </c>
      <c r="F13" s="33">
        <f>SUM(F9:F12)</f>
        <v>765.4425</v>
      </c>
    </row>
    <row r="14" spans="1:6" ht="15" customHeight="1">
      <c r="A14" s="134" t="s">
        <v>11</v>
      </c>
      <c r="B14" s="134"/>
      <c r="C14" s="134"/>
      <c r="D14" s="134"/>
      <c r="E14" s="134"/>
      <c r="F14" s="134"/>
    </row>
    <row r="15" spans="1:6" ht="15" customHeight="1">
      <c r="A15" s="35" t="s">
        <v>12</v>
      </c>
      <c r="B15" s="25"/>
      <c r="C15" s="25"/>
      <c r="D15" s="26"/>
      <c r="E15" s="26"/>
      <c r="F15" s="26"/>
    </row>
    <row r="16" spans="1:6" ht="15" customHeight="1">
      <c r="A16" s="41" t="s">
        <v>13</v>
      </c>
      <c r="B16" s="31">
        <f>'Αποσβέσεις-ΜΕΚ'!C33</f>
        <v>520.4678603908262</v>
      </c>
      <c r="C16" s="31"/>
      <c r="D16" s="32">
        <f>+$B16</f>
        <v>520.4678603908262</v>
      </c>
      <c r="E16" s="32">
        <f>+$B16</f>
        <v>520.4678603908262</v>
      </c>
      <c r="F16" s="32"/>
    </row>
    <row r="17" spans="1:6" ht="15" customHeight="1">
      <c r="A17" s="41" t="s">
        <v>67</v>
      </c>
      <c r="B17" s="31">
        <f>'Αποσβέσεις-ΜΕΚ'!E33</f>
        <v>477.8286451765749</v>
      </c>
      <c r="C17" s="31"/>
      <c r="D17" s="32">
        <f>+$B17</f>
        <v>477.8286451765749</v>
      </c>
      <c r="E17" s="32"/>
      <c r="F17" s="32">
        <f>+$B17</f>
        <v>477.8286451765749</v>
      </c>
    </row>
    <row r="18" spans="1:6" ht="15" customHeight="1">
      <c r="A18" s="41" t="s">
        <v>43</v>
      </c>
      <c r="B18" s="31">
        <f>'Αποσβέσεις-ΜΕΚ'!F33</f>
        <v>47.3862977738038</v>
      </c>
      <c r="C18" s="31"/>
      <c r="D18" s="32">
        <f>+$B18</f>
        <v>47.3862977738038</v>
      </c>
      <c r="E18" s="32">
        <f>+$B18</f>
        <v>47.3862977738038</v>
      </c>
      <c r="F18" s="32"/>
    </row>
    <row r="19" spans="1:6" ht="15" customHeight="1">
      <c r="A19" s="41" t="s">
        <v>68</v>
      </c>
      <c r="B19" s="31">
        <f>'Αποσβέσεις-ΜΕΚ'!G33</f>
        <v>3.2493148886901904</v>
      </c>
      <c r="C19" s="31"/>
      <c r="D19" s="32">
        <f>+$B19</f>
        <v>3.2493148886901904</v>
      </c>
      <c r="E19" s="32">
        <f>+$B19</f>
        <v>3.2493148886901904</v>
      </c>
      <c r="F19" s="32"/>
    </row>
    <row r="20" spans="1:6" ht="15" customHeight="1">
      <c r="A20" s="42" t="s">
        <v>66</v>
      </c>
      <c r="B20" s="31">
        <f>'Αποσβέσεις-ΜΕΚ'!H33</f>
        <v>1.3924793482185847</v>
      </c>
      <c r="C20" s="31"/>
      <c r="D20" s="32">
        <f>+$B20</f>
        <v>1.3924793482185847</v>
      </c>
      <c r="E20" s="32"/>
      <c r="F20" s="32">
        <f>+$B20</f>
        <v>1.3924793482185847</v>
      </c>
    </row>
    <row r="21" spans="1:6" ht="15" customHeight="1">
      <c r="A21" s="43" t="s">
        <v>0</v>
      </c>
      <c r="B21" s="33">
        <f>SUM(B16:B20)</f>
        <v>1050.3245975781138</v>
      </c>
      <c r="C21" s="33">
        <f>SUM(C16:C20)</f>
        <v>0</v>
      </c>
      <c r="D21" s="33">
        <f>SUM(D16:D20)</f>
        <v>1050.3245975781138</v>
      </c>
      <c r="E21" s="33">
        <f>SUM(E16:E20)</f>
        <v>571.1034730533202</v>
      </c>
      <c r="F21" s="33">
        <f>SUM(F16:F20)</f>
        <v>479.2211245247935</v>
      </c>
    </row>
    <row r="22" spans="1:6" ht="15" customHeight="1">
      <c r="A22" s="35" t="s">
        <v>14</v>
      </c>
      <c r="B22" s="27"/>
      <c r="C22" s="27"/>
      <c r="D22" s="28"/>
      <c r="E22" s="28"/>
      <c r="F22" s="28"/>
    </row>
    <row r="23" spans="1:6" ht="15" customHeight="1">
      <c r="A23" s="41" t="s">
        <v>15</v>
      </c>
      <c r="B23" s="31">
        <f>Δεδομένα!C40</f>
        <v>703.2</v>
      </c>
      <c r="C23" s="32">
        <f>+$B23</f>
        <v>703.2</v>
      </c>
      <c r="D23" s="32"/>
      <c r="E23" s="32">
        <f>+$B23</f>
        <v>703.2</v>
      </c>
      <c r="F23" s="32"/>
    </row>
    <row r="24" spans="1:6" ht="15" customHeight="1">
      <c r="A24" s="41" t="s">
        <v>115</v>
      </c>
      <c r="B24" s="31">
        <f>(Δεδομένα!B25*Δεδομένα!B27)*Δεδομένα!B90</f>
        <v>42</v>
      </c>
      <c r="C24" s="32">
        <f>+$B24</f>
        <v>42</v>
      </c>
      <c r="D24" s="32"/>
      <c r="E24" s="32">
        <f>+$B24</f>
        <v>42</v>
      </c>
      <c r="F24" s="32"/>
    </row>
    <row r="25" spans="1:6" ht="15" customHeight="1">
      <c r="A25" s="41" t="s">
        <v>116</v>
      </c>
      <c r="B25" s="31">
        <f>Δεδομένα!B47</f>
        <v>167.44</v>
      </c>
      <c r="C25" s="32">
        <f>+$B25</f>
        <v>167.44</v>
      </c>
      <c r="D25" s="32"/>
      <c r="E25" s="32">
        <f>+$B25</f>
        <v>167.44</v>
      </c>
      <c r="F25" s="32"/>
    </row>
    <row r="26" spans="1:6" ht="15" customHeight="1">
      <c r="A26" s="41" t="s">
        <v>117</v>
      </c>
      <c r="B26" s="31">
        <f>Δεδομένα!B50</f>
        <v>20</v>
      </c>
      <c r="C26" s="32">
        <f>+$B26</f>
        <v>20</v>
      </c>
      <c r="D26" s="32"/>
      <c r="E26" s="32">
        <f>+$B26</f>
        <v>20</v>
      </c>
      <c r="F26" s="32"/>
    </row>
    <row r="27" spans="1:6" ht="15" customHeight="1">
      <c r="A27" s="41" t="s">
        <v>118</v>
      </c>
      <c r="B27" s="31">
        <f>(SUM(B23:B26)*Δεδομένα!B88)/2</f>
        <v>25.647600000000004</v>
      </c>
      <c r="C27" s="32">
        <f>+$B27</f>
        <v>25.647600000000004</v>
      </c>
      <c r="D27" s="32"/>
      <c r="E27" s="32">
        <v>0</v>
      </c>
      <c r="F27" s="32">
        <f>+B27-E27</f>
        <v>25.647600000000004</v>
      </c>
    </row>
    <row r="28" spans="1:6" ht="15" customHeight="1">
      <c r="A28" s="43" t="s">
        <v>0</v>
      </c>
      <c r="B28" s="33">
        <f>SUM(B23:B27)</f>
        <v>958.2876000000001</v>
      </c>
      <c r="C28" s="33">
        <f>SUM(C23:C27)</f>
        <v>958.2876000000001</v>
      </c>
      <c r="D28" s="33">
        <f>SUM(D23:D27)</f>
        <v>0</v>
      </c>
      <c r="E28" s="33">
        <f>SUM(E23:E27)</f>
        <v>932.6400000000001</v>
      </c>
      <c r="F28" s="33">
        <f>SUM(F23:F27)</f>
        <v>25.647600000000004</v>
      </c>
    </row>
    <row r="29" spans="1:6" ht="15" customHeight="1">
      <c r="A29" s="19" t="s">
        <v>46</v>
      </c>
      <c r="B29" s="33">
        <f>+B7+B13+B21+B28</f>
        <v>3546.054697578114</v>
      </c>
      <c r="C29" s="33">
        <f>+C7+C13+C21+C28</f>
        <v>1340.5176000000001</v>
      </c>
      <c r="D29" s="33">
        <f>+D7+D13+D21+D28</f>
        <v>2205.537097578114</v>
      </c>
      <c r="E29" s="33">
        <f>+E7+E13+E21+E28</f>
        <v>1875.7434730533203</v>
      </c>
      <c r="F29" s="33">
        <f>+F7+F13+F21+F28</f>
        <v>1670.3112245247937</v>
      </c>
    </row>
    <row r="30" spans="1:6" ht="15" customHeight="1">
      <c r="A30" s="18"/>
      <c r="B30" s="29"/>
      <c r="C30" s="29"/>
      <c r="D30" s="29"/>
      <c r="E30" s="29"/>
      <c r="F30" s="29"/>
    </row>
    <row r="34" spans="1:6" ht="15" customHeight="1">
      <c r="A34" s="135" t="s">
        <v>112</v>
      </c>
      <c r="B34" s="135"/>
      <c r="C34" s="135"/>
      <c r="D34" s="135"/>
      <c r="E34" s="135"/>
      <c r="F34" s="135"/>
    </row>
    <row r="36" spans="1:6" ht="32.25" customHeight="1">
      <c r="A36" s="24" t="s">
        <v>7</v>
      </c>
      <c r="B36" s="2" t="s">
        <v>1</v>
      </c>
      <c r="C36" s="3" t="s">
        <v>2</v>
      </c>
      <c r="D36" s="3" t="s">
        <v>3</v>
      </c>
      <c r="E36" s="3" t="s">
        <v>4</v>
      </c>
      <c r="F36" s="3" t="s">
        <v>16</v>
      </c>
    </row>
    <row r="37" spans="1:6" ht="15" customHeight="1">
      <c r="A37" s="134" t="s">
        <v>5</v>
      </c>
      <c r="B37" s="134"/>
      <c r="C37" s="134"/>
      <c r="D37" s="134"/>
      <c r="E37" s="134"/>
      <c r="F37" s="134"/>
    </row>
    <row r="38" spans="1:6" ht="15" customHeight="1">
      <c r="A38" s="36" t="s">
        <v>6</v>
      </c>
      <c r="B38" s="31">
        <f>Δεδομένα!B54*Δεδομένα!B55</f>
        <v>2000</v>
      </c>
      <c r="C38" s="31"/>
      <c r="D38" s="32">
        <f>+$B38</f>
        <v>2000</v>
      </c>
      <c r="E38" s="32"/>
      <c r="F38" s="32">
        <f>+$B38</f>
        <v>2000</v>
      </c>
    </row>
    <row r="39" spans="1:6" ht="15" customHeight="1">
      <c r="A39" s="36" t="s">
        <v>8</v>
      </c>
      <c r="B39" s="31">
        <v>0</v>
      </c>
      <c r="C39" s="31"/>
      <c r="D39" s="32">
        <f>+$B39</f>
        <v>0</v>
      </c>
      <c r="E39" s="32">
        <f>+$B39</f>
        <v>0</v>
      </c>
      <c r="F39" s="32"/>
    </row>
    <row r="40" spans="1:6" ht="15" customHeight="1">
      <c r="A40" s="37" t="s">
        <v>0</v>
      </c>
      <c r="B40" s="33">
        <f>SUM(B38:B39)</f>
        <v>2000</v>
      </c>
      <c r="C40" s="33">
        <f>SUM(C38:C39)</f>
        <v>0</v>
      </c>
      <c r="D40" s="33">
        <f>SUM(D38:D39)</f>
        <v>2000</v>
      </c>
      <c r="E40" s="33">
        <f>SUM(E38:E39)</f>
        <v>0</v>
      </c>
      <c r="F40" s="33">
        <f>SUM(F38:F39)</f>
        <v>2000</v>
      </c>
    </row>
    <row r="41" spans="1:6" ht="15" customHeight="1">
      <c r="A41" s="134" t="s">
        <v>9</v>
      </c>
      <c r="B41" s="134"/>
      <c r="C41" s="134"/>
      <c r="D41" s="134"/>
      <c r="E41" s="134"/>
      <c r="F41" s="134"/>
    </row>
    <row r="42" spans="1:6" ht="15" customHeight="1">
      <c r="A42" s="36" t="s">
        <v>10</v>
      </c>
      <c r="B42" s="31">
        <f>Δεδομένα!B61*Δεδομένα!B62</f>
        <v>1020</v>
      </c>
      <c r="C42" s="34"/>
      <c r="D42" s="32">
        <f>+$B42</f>
        <v>1020</v>
      </c>
      <c r="E42" s="32"/>
      <c r="F42" s="32">
        <f>+$B42</f>
        <v>1020</v>
      </c>
    </row>
    <row r="43" spans="1:6" ht="15" customHeight="1">
      <c r="A43" s="36" t="s">
        <v>120</v>
      </c>
      <c r="B43" s="31">
        <f>Δεδομένα!B62*Δεδομένα!B63</f>
        <v>0</v>
      </c>
      <c r="C43" s="32">
        <f>+$B43</f>
        <v>0</v>
      </c>
      <c r="D43" s="32"/>
      <c r="E43" s="32">
        <f>+$B43</f>
        <v>0</v>
      </c>
      <c r="F43" s="32"/>
    </row>
    <row r="44" spans="1:6" ht="15" customHeight="1">
      <c r="A44" s="36" t="s">
        <v>121</v>
      </c>
      <c r="B44" s="31">
        <f>B42*Δεδομένα!B89/2</f>
        <v>33.15</v>
      </c>
      <c r="C44" s="32"/>
      <c r="D44" s="32">
        <f>B44</f>
        <v>33.15</v>
      </c>
      <c r="E44" s="32"/>
      <c r="F44" s="32">
        <f>B44</f>
        <v>33.15</v>
      </c>
    </row>
    <row r="45" spans="1:6" ht="15" customHeight="1">
      <c r="A45" s="36" t="s">
        <v>70</v>
      </c>
      <c r="B45" s="31">
        <f>B43*'Αποσβέσεις-ΜΕΚ'!K48/2</f>
        <v>0</v>
      </c>
      <c r="C45" s="32">
        <f>B45</f>
        <v>0</v>
      </c>
      <c r="D45" s="32"/>
      <c r="E45" s="32"/>
      <c r="F45" s="32">
        <f>B45</f>
        <v>0</v>
      </c>
    </row>
    <row r="46" spans="1:6" ht="15" customHeight="1">
      <c r="A46" s="37" t="s">
        <v>0</v>
      </c>
      <c r="B46" s="33">
        <f>SUM(B42:B45)</f>
        <v>1053.15</v>
      </c>
      <c r="C46" s="33">
        <f>SUM(C42:C45)</f>
        <v>0</v>
      </c>
      <c r="D46" s="33">
        <f>SUM(D42:D45)</f>
        <v>1053.15</v>
      </c>
      <c r="E46" s="33">
        <f>SUM(E42:E45)</f>
        <v>0</v>
      </c>
      <c r="F46" s="33">
        <f>SUM(F42:F45)</f>
        <v>1053.15</v>
      </c>
    </row>
    <row r="47" spans="1:6" ht="15" customHeight="1">
      <c r="A47" s="134" t="s">
        <v>11</v>
      </c>
      <c r="B47" s="134"/>
      <c r="C47" s="134"/>
      <c r="D47" s="134"/>
      <c r="E47" s="134"/>
      <c r="F47" s="134"/>
    </row>
    <row r="48" spans="1:6" ht="15" customHeight="1">
      <c r="A48" s="35" t="s">
        <v>12</v>
      </c>
      <c r="B48" s="25"/>
      <c r="C48" s="25"/>
      <c r="D48" s="26"/>
      <c r="E48" s="26"/>
      <c r="F48" s="26"/>
    </row>
    <row r="49" spans="1:6" ht="15" customHeight="1">
      <c r="A49" s="41" t="s">
        <v>13</v>
      </c>
      <c r="B49" s="31">
        <f>'Αποσβέσεις-ΜΕΚ'!C53</f>
        <v>1666.1988062758405</v>
      </c>
      <c r="C49" s="31"/>
      <c r="D49" s="32">
        <f>+$B49</f>
        <v>1666.1988062758405</v>
      </c>
      <c r="E49" s="32">
        <f>+$B49</f>
        <v>1666.1988062758405</v>
      </c>
      <c r="F49" s="32"/>
    </row>
    <row r="50" spans="1:6" ht="15" customHeight="1">
      <c r="A50" s="41" t="s">
        <v>67</v>
      </c>
      <c r="B50" s="31">
        <f>'Αποσβέσεις-ΜΕΚ'!E53</f>
        <v>551.7713548234251</v>
      </c>
      <c r="C50" s="31"/>
      <c r="D50" s="32">
        <f>+$B50</f>
        <v>551.7713548234251</v>
      </c>
      <c r="E50" s="32"/>
      <c r="F50" s="32">
        <f>+$B50</f>
        <v>551.7713548234251</v>
      </c>
    </row>
    <row r="51" spans="1:6" ht="15" customHeight="1">
      <c r="A51" s="41" t="s">
        <v>43</v>
      </c>
      <c r="B51" s="31">
        <f>'Αποσβέσεις-ΜΕΚ'!F53</f>
        <v>109.2637022261962</v>
      </c>
      <c r="C51" s="31"/>
      <c r="D51" s="32">
        <f>+$B51</f>
        <v>109.2637022261962</v>
      </c>
      <c r="E51" s="32">
        <f>+$B51</f>
        <v>109.2637022261962</v>
      </c>
      <c r="F51" s="32"/>
    </row>
    <row r="52" spans="1:6" ht="15" customHeight="1">
      <c r="A52" s="41" t="s">
        <v>68</v>
      </c>
      <c r="B52" s="31">
        <f>'Αποσβέσεις-ΜΕΚ'!G53</f>
        <v>8.983185111309812</v>
      </c>
      <c r="C52" s="31"/>
      <c r="D52" s="32">
        <f>+$B52</f>
        <v>8.983185111309812</v>
      </c>
      <c r="E52" s="32">
        <f>+$B52</f>
        <v>8.983185111309812</v>
      </c>
      <c r="F52" s="32"/>
    </row>
    <row r="53" spans="1:6" ht="15" customHeight="1">
      <c r="A53" s="42" t="s">
        <v>66</v>
      </c>
      <c r="B53" s="31">
        <f>'Αποσβέσεις-ΜΕΚ'!H53</f>
        <v>3.2517894017814157</v>
      </c>
      <c r="C53" s="31"/>
      <c r="D53" s="32">
        <f>+$B53</f>
        <v>3.2517894017814157</v>
      </c>
      <c r="E53" s="32"/>
      <c r="F53" s="32">
        <f>+$B53</f>
        <v>3.2517894017814157</v>
      </c>
    </row>
    <row r="54" spans="1:6" ht="15" customHeight="1">
      <c r="A54" s="43" t="s">
        <v>0</v>
      </c>
      <c r="B54" s="33">
        <f>SUM(B49:B53)</f>
        <v>2339.468837838553</v>
      </c>
      <c r="C54" s="33">
        <f>SUM(C49:C53)</f>
        <v>0</v>
      </c>
      <c r="D54" s="33">
        <f>SUM(D49:D53)</f>
        <v>2339.468837838553</v>
      </c>
      <c r="E54" s="33">
        <f>SUM(E49:E53)</f>
        <v>1784.4456936133467</v>
      </c>
      <c r="F54" s="33">
        <f>SUM(F49:F53)</f>
        <v>555.0231442252065</v>
      </c>
    </row>
    <row r="55" spans="1:6" ht="15" customHeight="1">
      <c r="A55" s="35" t="s">
        <v>14</v>
      </c>
      <c r="B55" s="27"/>
      <c r="C55" s="27"/>
      <c r="D55" s="28"/>
      <c r="E55" s="28"/>
      <c r="F55" s="28"/>
    </row>
    <row r="56" spans="1:6" ht="15" customHeight="1">
      <c r="A56" s="41" t="s">
        <v>15</v>
      </c>
      <c r="B56" s="31">
        <f>Δεδομένα!C71</f>
        <v>4005.6000000000004</v>
      </c>
      <c r="C56" s="32">
        <f>+$B56</f>
        <v>4005.6000000000004</v>
      </c>
      <c r="D56" s="32"/>
      <c r="E56" s="32">
        <f>+$B56</f>
        <v>4005.6000000000004</v>
      </c>
      <c r="F56" s="32"/>
    </row>
    <row r="57" spans="1:6" ht="15" customHeight="1">
      <c r="A57" s="41" t="s">
        <v>115</v>
      </c>
      <c r="B57" s="31">
        <f>(Δεδομένα!B59*Δεδομένα!B60)*Δεδομένα!B90</f>
        <v>445.5</v>
      </c>
      <c r="C57" s="32">
        <f>+$B57</f>
        <v>445.5</v>
      </c>
      <c r="D57" s="32"/>
      <c r="E57" s="32">
        <f>+$B57</f>
        <v>445.5</v>
      </c>
      <c r="F57" s="32"/>
    </row>
    <row r="58" spans="1:6" ht="15" customHeight="1">
      <c r="A58" s="41" t="s">
        <v>116</v>
      </c>
      <c r="B58" s="31">
        <f>Δεδομένα!B81</f>
        <v>5750</v>
      </c>
      <c r="C58" s="32">
        <f>+$B58</f>
        <v>5750</v>
      </c>
      <c r="D58" s="32"/>
      <c r="E58" s="32">
        <f>+$B58</f>
        <v>5750</v>
      </c>
      <c r="F58" s="32"/>
    </row>
    <row r="59" spans="1:6" ht="15" customHeight="1">
      <c r="A59" s="41" t="s">
        <v>117</v>
      </c>
      <c r="B59" s="31">
        <f>Δεδομένα!B83</f>
        <v>50</v>
      </c>
      <c r="C59" s="32">
        <f>+$B59</f>
        <v>50</v>
      </c>
      <c r="D59" s="32"/>
      <c r="E59" s="32">
        <f>+$B59</f>
        <v>50</v>
      </c>
      <c r="F59" s="32"/>
    </row>
    <row r="60" spans="1:6" ht="15" customHeight="1">
      <c r="A60" s="41" t="s">
        <v>118</v>
      </c>
      <c r="B60" s="31">
        <f>(SUM(B56:B59)*Δεδομένα!B88)/2</f>
        <v>281.90525</v>
      </c>
      <c r="C60" s="32">
        <f>+$B60</f>
        <v>281.90525</v>
      </c>
      <c r="D60" s="32"/>
      <c r="E60" s="32">
        <v>0</v>
      </c>
      <c r="F60" s="32">
        <f>+B60-E60</f>
        <v>281.90525</v>
      </c>
    </row>
    <row r="61" spans="1:6" ht="15" customHeight="1">
      <c r="A61" s="43" t="s">
        <v>0</v>
      </c>
      <c r="B61" s="33">
        <f>SUM(B56:B60)</f>
        <v>10533.00525</v>
      </c>
      <c r="C61" s="33">
        <f>SUM(C56:C60)</f>
        <v>10533.00525</v>
      </c>
      <c r="D61" s="33">
        <f>SUM(D56:D60)</f>
        <v>0</v>
      </c>
      <c r="E61" s="33">
        <f>SUM(E56:E60)</f>
        <v>10251.1</v>
      </c>
      <c r="F61" s="33">
        <f>SUM(F56:F60)</f>
        <v>281.90525</v>
      </c>
    </row>
    <row r="62" spans="1:6" ht="15" customHeight="1">
      <c r="A62" s="19" t="s">
        <v>46</v>
      </c>
      <c r="B62" s="33">
        <f>+B40+B46+B54+B61</f>
        <v>15925.624087838554</v>
      </c>
      <c r="C62" s="33">
        <f>+C40+C46+C54+C61</f>
        <v>10533.00525</v>
      </c>
      <c r="D62" s="33">
        <f>+D40+D46+D54+D61</f>
        <v>5392.618837838553</v>
      </c>
      <c r="E62" s="33">
        <f>+E40+E46+E54+E61</f>
        <v>12035.545693613347</v>
      </c>
      <c r="F62" s="33">
        <f>+F40+F46+F54+F61</f>
        <v>3890.0783942252065</v>
      </c>
    </row>
    <row r="66" spans="1:6" ht="15.75" customHeight="1">
      <c r="A66" s="135" t="s">
        <v>113</v>
      </c>
      <c r="B66" s="135"/>
      <c r="C66" s="135"/>
      <c r="D66" s="135"/>
      <c r="E66" s="135"/>
      <c r="F66" s="135"/>
    </row>
    <row r="68" spans="1:6" ht="29.25" customHeight="1">
      <c r="A68" s="24" t="s">
        <v>7</v>
      </c>
      <c r="B68" s="2" t="s">
        <v>1</v>
      </c>
      <c r="C68" s="3" t="s">
        <v>2</v>
      </c>
      <c r="D68" s="3" t="s">
        <v>3</v>
      </c>
      <c r="E68" s="3" t="s">
        <v>4</v>
      </c>
      <c r="F68" s="3" t="s">
        <v>16</v>
      </c>
    </row>
    <row r="69" spans="1:6" ht="15" customHeight="1">
      <c r="A69" s="134" t="s">
        <v>5</v>
      </c>
      <c r="B69" s="134"/>
      <c r="C69" s="134"/>
      <c r="D69" s="134"/>
      <c r="E69" s="134"/>
      <c r="F69" s="134"/>
    </row>
    <row r="70" spans="1:6" ht="15" customHeight="1">
      <c r="A70" s="36" t="s">
        <v>6</v>
      </c>
      <c r="B70" s="31">
        <f>B5+B38</f>
        <v>2400</v>
      </c>
      <c r="C70" s="31">
        <f aca="true" t="shared" si="0" ref="C70:F72">C5+C38</f>
        <v>0</v>
      </c>
      <c r="D70" s="31">
        <f t="shared" si="0"/>
        <v>2400</v>
      </c>
      <c r="E70" s="31">
        <f t="shared" si="0"/>
        <v>0</v>
      </c>
      <c r="F70" s="31">
        <f t="shared" si="0"/>
        <v>2400</v>
      </c>
    </row>
    <row r="71" spans="1:6" ht="15" customHeight="1">
      <c r="A71" s="36" t="s">
        <v>8</v>
      </c>
      <c r="B71" s="31">
        <f>B6+B39</f>
        <v>0</v>
      </c>
      <c r="C71" s="31">
        <f t="shared" si="0"/>
        <v>0</v>
      </c>
      <c r="D71" s="31">
        <f t="shared" si="0"/>
        <v>0</v>
      </c>
      <c r="E71" s="31">
        <f t="shared" si="0"/>
        <v>0</v>
      </c>
      <c r="F71" s="31">
        <f t="shared" si="0"/>
        <v>0</v>
      </c>
    </row>
    <row r="72" spans="1:8" ht="15" customHeight="1">
      <c r="A72" s="37" t="s">
        <v>0</v>
      </c>
      <c r="B72" s="75">
        <f>B7+B40</f>
        <v>2400</v>
      </c>
      <c r="C72" s="75">
        <f t="shared" si="0"/>
        <v>0</v>
      </c>
      <c r="D72" s="75">
        <f t="shared" si="0"/>
        <v>2400</v>
      </c>
      <c r="E72" s="75">
        <f t="shared" si="0"/>
        <v>0</v>
      </c>
      <c r="F72" s="75">
        <f t="shared" si="0"/>
        <v>2400</v>
      </c>
      <c r="H72" s="76"/>
    </row>
    <row r="73" spans="1:6" ht="15" customHeight="1">
      <c r="A73" s="134" t="s">
        <v>9</v>
      </c>
      <c r="B73" s="134"/>
      <c r="C73" s="134"/>
      <c r="D73" s="134"/>
      <c r="E73" s="134"/>
      <c r="F73" s="134"/>
    </row>
    <row r="74" spans="1:6" ht="15" customHeight="1">
      <c r="A74" s="36" t="s">
        <v>10</v>
      </c>
      <c r="B74" s="31">
        <f aca="true" t="shared" si="1" ref="B74:F75">B9+B42</f>
        <v>1755</v>
      </c>
      <c r="C74" s="31">
        <f t="shared" si="1"/>
        <v>0</v>
      </c>
      <c r="D74" s="31">
        <f t="shared" si="1"/>
        <v>1755</v>
      </c>
      <c r="E74" s="31">
        <f t="shared" si="1"/>
        <v>0</v>
      </c>
      <c r="F74" s="31">
        <f t="shared" si="1"/>
        <v>1755</v>
      </c>
    </row>
    <row r="75" spans="1:6" ht="15" customHeight="1">
      <c r="A75" s="36" t="s">
        <v>120</v>
      </c>
      <c r="B75" s="31">
        <f t="shared" si="1"/>
        <v>372</v>
      </c>
      <c r="C75" s="31">
        <f t="shared" si="1"/>
        <v>372</v>
      </c>
      <c r="D75" s="31">
        <f t="shared" si="1"/>
        <v>0</v>
      </c>
      <c r="E75" s="31">
        <f t="shared" si="1"/>
        <v>372</v>
      </c>
      <c r="F75" s="31">
        <f t="shared" si="1"/>
        <v>0</v>
      </c>
    </row>
    <row r="76" spans="1:6" ht="15" customHeight="1">
      <c r="A76" s="36" t="s">
        <v>121</v>
      </c>
      <c r="B76" s="31">
        <f aca="true" t="shared" si="2" ref="B76:F77">B11+B44</f>
        <v>53.3625</v>
      </c>
      <c r="C76" s="31">
        <f t="shared" si="2"/>
        <v>0</v>
      </c>
      <c r="D76" s="31">
        <f t="shared" si="2"/>
        <v>53.3625</v>
      </c>
      <c r="E76" s="31">
        <f t="shared" si="2"/>
        <v>0</v>
      </c>
      <c r="F76" s="31">
        <f t="shared" si="2"/>
        <v>53.3625</v>
      </c>
    </row>
    <row r="77" spans="1:6" ht="15" customHeight="1">
      <c r="A77" s="36" t="s">
        <v>70</v>
      </c>
      <c r="B77" s="31">
        <f t="shared" si="2"/>
        <v>10.23</v>
      </c>
      <c r="C77" s="31">
        <f t="shared" si="2"/>
        <v>10.23</v>
      </c>
      <c r="D77" s="31">
        <f t="shared" si="2"/>
        <v>0</v>
      </c>
      <c r="E77" s="31">
        <f t="shared" si="2"/>
        <v>0</v>
      </c>
      <c r="F77" s="31">
        <f t="shared" si="2"/>
        <v>10.23</v>
      </c>
    </row>
    <row r="78" spans="1:8" ht="15" customHeight="1">
      <c r="A78" s="37" t="s">
        <v>0</v>
      </c>
      <c r="B78" s="33">
        <f>SUM(B74:B77)</f>
        <v>2190.5925</v>
      </c>
      <c r="C78" s="33">
        <f>SUM(C74:C77)</f>
        <v>382.23</v>
      </c>
      <c r="D78" s="33">
        <f>SUM(D74:D77)</f>
        <v>1808.3625</v>
      </c>
      <c r="E78" s="33">
        <f>SUM(E74:E77)</f>
        <v>372</v>
      </c>
      <c r="F78" s="33">
        <f>SUM(F74:F77)</f>
        <v>1818.5925</v>
      </c>
      <c r="H78" s="76"/>
    </row>
    <row r="79" spans="1:6" ht="15" customHeight="1">
      <c r="A79" s="134" t="s">
        <v>11</v>
      </c>
      <c r="B79" s="134"/>
      <c r="C79" s="134"/>
      <c r="D79" s="134"/>
      <c r="E79" s="134"/>
      <c r="F79" s="134"/>
    </row>
    <row r="80" spans="1:6" ht="15" customHeight="1">
      <c r="A80" s="35" t="s">
        <v>12</v>
      </c>
      <c r="B80" s="25"/>
      <c r="C80" s="25"/>
      <c r="D80" s="26"/>
      <c r="E80" s="26"/>
      <c r="F80" s="26"/>
    </row>
    <row r="81" spans="1:6" ht="15" customHeight="1">
      <c r="A81" s="41" t="s">
        <v>13</v>
      </c>
      <c r="B81" s="31">
        <f aca="true" t="shared" si="3" ref="B81:F83">B16+B49</f>
        <v>2186.666666666667</v>
      </c>
      <c r="C81" s="31">
        <f t="shared" si="3"/>
        <v>0</v>
      </c>
      <c r="D81" s="31">
        <f t="shared" si="3"/>
        <v>2186.666666666667</v>
      </c>
      <c r="E81" s="31">
        <f t="shared" si="3"/>
        <v>2186.666666666667</v>
      </c>
      <c r="F81" s="31">
        <f t="shared" si="3"/>
        <v>0</v>
      </c>
    </row>
    <row r="82" spans="1:6" ht="15" customHeight="1">
      <c r="A82" s="41" t="s">
        <v>67</v>
      </c>
      <c r="B82" s="31">
        <f t="shared" si="3"/>
        <v>1029.6</v>
      </c>
      <c r="C82" s="31">
        <f t="shared" si="3"/>
        <v>0</v>
      </c>
      <c r="D82" s="31">
        <f t="shared" si="3"/>
        <v>1029.6</v>
      </c>
      <c r="E82" s="31">
        <f t="shared" si="3"/>
        <v>0</v>
      </c>
      <c r="F82" s="31">
        <f t="shared" si="3"/>
        <v>1029.6</v>
      </c>
    </row>
    <row r="83" spans="1:6" ht="15" customHeight="1">
      <c r="A83" s="41" t="s">
        <v>43</v>
      </c>
      <c r="B83" s="31">
        <f t="shared" si="3"/>
        <v>156.65</v>
      </c>
      <c r="C83" s="31">
        <f t="shared" si="3"/>
        <v>0</v>
      </c>
      <c r="D83" s="31">
        <f t="shared" si="3"/>
        <v>156.65</v>
      </c>
      <c r="E83" s="31">
        <f t="shared" si="3"/>
        <v>156.65</v>
      </c>
      <c r="F83" s="31">
        <f t="shared" si="3"/>
        <v>0</v>
      </c>
    </row>
    <row r="84" spans="1:6" ht="15" customHeight="1">
      <c r="A84" s="41" t="s">
        <v>68</v>
      </c>
      <c r="B84" s="31">
        <f aca="true" t="shared" si="4" ref="B84:F85">B19+B52</f>
        <v>12.232500000000002</v>
      </c>
      <c r="C84" s="31">
        <f t="shared" si="4"/>
        <v>0</v>
      </c>
      <c r="D84" s="31">
        <f t="shared" si="4"/>
        <v>12.232500000000002</v>
      </c>
      <c r="E84" s="31">
        <f t="shared" si="4"/>
        <v>12.232500000000002</v>
      </c>
      <c r="F84" s="31">
        <f t="shared" si="4"/>
        <v>0</v>
      </c>
    </row>
    <row r="85" spans="1:6" ht="15" customHeight="1">
      <c r="A85" s="42" t="s">
        <v>66</v>
      </c>
      <c r="B85" s="31">
        <f t="shared" si="4"/>
        <v>4.64426875</v>
      </c>
      <c r="C85" s="31">
        <f t="shared" si="4"/>
        <v>0</v>
      </c>
      <c r="D85" s="31">
        <f t="shared" si="4"/>
        <v>4.64426875</v>
      </c>
      <c r="E85" s="31">
        <f t="shared" si="4"/>
        <v>0</v>
      </c>
      <c r="F85" s="31">
        <f t="shared" si="4"/>
        <v>4.64426875</v>
      </c>
    </row>
    <row r="86" spans="1:8" ht="15" customHeight="1">
      <c r="A86" s="43" t="s">
        <v>0</v>
      </c>
      <c r="B86" s="33">
        <f>SUM(B81:B85)</f>
        <v>3389.793435416667</v>
      </c>
      <c r="C86" s="33">
        <f>SUM(C81:C85)</f>
        <v>0</v>
      </c>
      <c r="D86" s="33">
        <f>SUM(D81:D85)</f>
        <v>3389.793435416667</v>
      </c>
      <c r="E86" s="33">
        <f>SUM(E81:E85)</f>
        <v>2355.549166666667</v>
      </c>
      <c r="F86" s="33">
        <f>SUM(F81:F85)</f>
        <v>1034.24426875</v>
      </c>
      <c r="H86" s="76"/>
    </row>
    <row r="87" spans="1:6" ht="15" customHeight="1">
      <c r="A87" s="35" t="s">
        <v>14</v>
      </c>
      <c r="B87" s="27"/>
      <c r="C87" s="27"/>
      <c r="D87" s="28"/>
      <c r="E87" s="28"/>
      <c r="F87" s="28"/>
    </row>
    <row r="88" spans="1:6" ht="15" customHeight="1">
      <c r="A88" s="41" t="s">
        <v>15</v>
      </c>
      <c r="B88" s="31">
        <f aca="true" t="shared" si="5" ref="B88:F90">B23+B56</f>
        <v>4708.8</v>
      </c>
      <c r="C88" s="31">
        <f t="shared" si="5"/>
        <v>4708.8</v>
      </c>
      <c r="D88" s="31">
        <f t="shared" si="5"/>
        <v>0</v>
      </c>
      <c r="E88" s="31">
        <f t="shared" si="5"/>
        <v>4708.8</v>
      </c>
      <c r="F88" s="31">
        <f t="shared" si="5"/>
        <v>0</v>
      </c>
    </row>
    <row r="89" spans="1:6" ht="15" customHeight="1">
      <c r="A89" s="41" t="s">
        <v>115</v>
      </c>
      <c r="B89" s="31">
        <f t="shared" si="5"/>
        <v>487.5</v>
      </c>
      <c r="C89" s="31">
        <f t="shared" si="5"/>
        <v>487.5</v>
      </c>
      <c r="D89" s="31">
        <f t="shared" si="5"/>
        <v>0</v>
      </c>
      <c r="E89" s="31">
        <f t="shared" si="5"/>
        <v>487.5</v>
      </c>
      <c r="F89" s="31">
        <f t="shared" si="5"/>
        <v>0</v>
      </c>
    </row>
    <row r="90" spans="1:6" ht="15" customHeight="1">
      <c r="A90" s="41" t="s">
        <v>116</v>
      </c>
      <c r="B90" s="31">
        <f t="shared" si="5"/>
        <v>5917.44</v>
      </c>
      <c r="C90" s="31">
        <f t="shared" si="5"/>
        <v>5917.44</v>
      </c>
      <c r="D90" s="31">
        <f t="shared" si="5"/>
        <v>0</v>
      </c>
      <c r="E90" s="31">
        <f t="shared" si="5"/>
        <v>5917.44</v>
      </c>
      <c r="F90" s="31">
        <f t="shared" si="5"/>
        <v>0</v>
      </c>
    </row>
    <row r="91" spans="1:6" ht="15" customHeight="1">
      <c r="A91" s="41" t="s">
        <v>117</v>
      </c>
      <c r="B91" s="31">
        <f aca="true" t="shared" si="6" ref="B91:F92">B26+B59</f>
        <v>70</v>
      </c>
      <c r="C91" s="31">
        <f t="shared" si="6"/>
        <v>70</v>
      </c>
      <c r="D91" s="31">
        <f t="shared" si="6"/>
        <v>0</v>
      </c>
      <c r="E91" s="31">
        <f t="shared" si="6"/>
        <v>70</v>
      </c>
      <c r="F91" s="31">
        <f t="shared" si="6"/>
        <v>0</v>
      </c>
    </row>
    <row r="92" spans="1:6" ht="15" customHeight="1">
      <c r="A92" s="41" t="s">
        <v>118</v>
      </c>
      <c r="B92" s="31">
        <f t="shared" si="6"/>
        <v>307.55285000000003</v>
      </c>
      <c r="C92" s="31">
        <f t="shared" si="6"/>
        <v>307.55285000000003</v>
      </c>
      <c r="D92" s="31">
        <f t="shared" si="6"/>
        <v>0</v>
      </c>
      <c r="E92" s="31">
        <f t="shared" si="6"/>
        <v>0</v>
      </c>
      <c r="F92" s="31">
        <f t="shared" si="6"/>
        <v>307.55285000000003</v>
      </c>
    </row>
    <row r="93" spans="1:8" ht="15" customHeight="1">
      <c r="A93" s="43" t="s">
        <v>0</v>
      </c>
      <c r="B93" s="33">
        <f>SUM(B88:B92)</f>
        <v>11491.29285</v>
      </c>
      <c r="C93" s="33">
        <f>SUM(C88:C92)</f>
        <v>11491.29285</v>
      </c>
      <c r="D93" s="33">
        <f>SUM(D88:D92)</f>
        <v>0</v>
      </c>
      <c r="E93" s="33">
        <f>SUM(E88:E92)</f>
        <v>11183.74</v>
      </c>
      <c r="F93" s="33">
        <f>SUM(F88:F92)</f>
        <v>307.55285000000003</v>
      </c>
      <c r="H93" s="76"/>
    </row>
    <row r="94" spans="1:9" ht="15" customHeight="1">
      <c r="A94" s="19" t="s">
        <v>46</v>
      </c>
      <c r="B94" s="33">
        <f>+B72+B78+B86+B93</f>
        <v>19471.67878541667</v>
      </c>
      <c r="C94" s="33">
        <f>+C72+C78+C86+C93</f>
        <v>11873.52285</v>
      </c>
      <c r="D94" s="33">
        <f>+D72+D78+D86+D93</f>
        <v>7598.1559354166675</v>
      </c>
      <c r="E94" s="33">
        <f>+E72+E78+E86+E93</f>
        <v>13911.289166666667</v>
      </c>
      <c r="F94" s="33">
        <f>+F72+F78+F86+F93</f>
        <v>5560.3896187499995</v>
      </c>
      <c r="H94" s="76"/>
      <c r="I94" s="76"/>
    </row>
  </sheetData>
  <sheetProtection/>
  <mergeCells count="12">
    <mergeCell ref="A1:F1"/>
    <mergeCell ref="A14:F14"/>
    <mergeCell ref="A8:F8"/>
    <mergeCell ref="A4:F4"/>
    <mergeCell ref="A66:F66"/>
    <mergeCell ref="A69:F69"/>
    <mergeCell ref="A73:F73"/>
    <mergeCell ref="A79:F79"/>
    <mergeCell ref="A34:F34"/>
    <mergeCell ref="A37:F37"/>
    <mergeCell ref="A41:F41"/>
    <mergeCell ref="A47:F4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28" sqref="C28"/>
    </sheetView>
  </sheetViews>
  <sheetFormatPr defaultColWidth="9.00390625" defaultRowHeight="15" customHeight="1"/>
  <cols>
    <col min="1" max="1" width="40.00390625" style="0" customWidth="1"/>
    <col min="2" max="2" width="50.25390625" style="0" customWidth="1"/>
    <col min="3" max="3" width="18.00390625" style="0" customWidth="1"/>
    <col min="4" max="4" width="10.00390625" style="0" customWidth="1"/>
    <col min="5" max="5" width="11.625" style="0" bestFit="1" customWidth="1"/>
  </cols>
  <sheetData>
    <row r="1" spans="1:3" ht="15" customHeight="1">
      <c r="A1" s="91"/>
      <c r="B1" s="91"/>
      <c r="C1" s="91"/>
    </row>
    <row r="2" spans="1:3" s="38" customFormat="1" ht="15" customHeight="1">
      <c r="A2" s="77" t="s">
        <v>127</v>
      </c>
      <c r="B2" s="78" t="s">
        <v>123</v>
      </c>
      <c r="C2" s="79">
        <f>Δαπάνες!B29/Δεδομένα!B24</f>
        <v>5.929857353809555</v>
      </c>
    </row>
    <row r="3" spans="1:4" s="38" customFormat="1" ht="15" customHeight="1">
      <c r="A3"/>
      <c r="B3"/>
      <c r="C3"/>
      <c r="D3" s="39"/>
    </row>
    <row r="4" spans="1:4" s="38" customFormat="1" ht="15" customHeight="1" thickBot="1">
      <c r="A4" s="136" t="s">
        <v>128</v>
      </c>
      <c r="B4" s="136"/>
      <c r="C4" s="136"/>
      <c r="D4" s="39"/>
    </row>
    <row r="5" spans="1:4" s="38" customFormat="1" ht="15" customHeight="1" thickTop="1">
      <c r="A5" s="80" t="s">
        <v>40</v>
      </c>
      <c r="B5" s="81" t="s">
        <v>41</v>
      </c>
      <c r="C5" s="82" t="s">
        <v>42</v>
      </c>
      <c r="D5" s="39"/>
    </row>
    <row r="6" spans="1:4" s="38" customFormat="1" ht="15" customHeight="1">
      <c r="A6" s="83" t="s">
        <v>23</v>
      </c>
      <c r="B6" s="84" t="s">
        <v>24</v>
      </c>
      <c r="C6" s="85">
        <f>(Δεδομένα!B24*Δεδομένα!B27)+(Δεδομένα!B28*Δεδομένα!B21)</f>
        <v>2393</v>
      </c>
      <c r="D6" s="39"/>
    </row>
    <row r="7" spans="1:4" s="38" customFormat="1" ht="15" customHeight="1">
      <c r="A7" s="83" t="s">
        <v>25</v>
      </c>
      <c r="B7" s="86" t="s">
        <v>26</v>
      </c>
      <c r="C7" s="85">
        <f>C6-Δαπάνες!B29</f>
        <v>-1153.054697578114</v>
      </c>
      <c r="D7" s="39"/>
    </row>
    <row r="8" spans="1:3" s="38" customFormat="1" ht="15" customHeight="1">
      <c r="A8" s="83" t="s">
        <v>27</v>
      </c>
      <c r="B8" s="86" t="s">
        <v>28</v>
      </c>
      <c r="C8" s="85">
        <f>C6-Δαπάνες!C29</f>
        <v>1052.4823999999999</v>
      </c>
    </row>
    <row r="9" spans="1:4" s="38" customFormat="1" ht="15" customHeight="1">
      <c r="A9" s="83" t="s">
        <v>124</v>
      </c>
      <c r="B9" s="86" t="s">
        <v>29</v>
      </c>
      <c r="C9" s="85">
        <f>C6-Δαπάνες!E29</f>
        <v>517.2565269466797</v>
      </c>
      <c r="D9" s="39"/>
    </row>
    <row r="10" spans="1:3" s="38" customFormat="1" ht="15" customHeight="1">
      <c r="A10" s="83" t="s">
        <v>125</v>
      </c>
      <c r="B10" s="86" t="s">
        <v>30</v>
      </c>
      <c r="C10" s="85">
        <f>'Οικ Αποτελέσματα'!C7+Δαπάνες!B7+Δαπάνες!B11+Δαπάνες!B12+Δαπάνες!B17+Δαπάνες!B20+Δαπάνες!B27</f>
        <v>-217.74347305332046</v>
      </c>
    </row>
    <row r="11" spans="1:3" s="38" customFormat="1" ht="15" customHeight="1">
      <c r="A11" s="83" t="s">
        <v>126</v>
      </c>
      <c r="B11" s="86" t="s">
        <v>31</v>
      </c>
      <c r="C11" s="92">
        <f>C10/'Αποσβέσεις-ΜΕΚ'!C35</f>
        <v>-0.014184124515648946</v>
      </c>
    </row>
    <row r="12" spans="1:4" s="38" customFormat="1" ht="15" customHeight="1">
      <c r="A12" s="83" t="s">
        <v>32</v>
      </c>
      <c r="B12" s="87" t="s">
        <v>33</v>
      </c>
      <c r="C12" s="85">
        <f>C7+Δαπάνες!B7+Δαπάνες!B11+Δαπάνες!B12+Δαπάνες!B17+Δαπάνες!B20+Δαπάνες!B27</f>
        <v>-217.74347305332046</v>
      </c>
      <c r="D12" s="39"/>
    </row>
    <row r="13" spans="1:3" ht="15" customHeight="1">
      <c r="A13" s="83" t="s">
        <v>34</v>
      </c>
      <c r="B13" s="86" t="s">
        <v>35</v>
      </c>
      <c r="C13" s="92">
        <f>C12/'Αποσβέσεις-ΜΕΚ'!C35</f>
        <v>-0.014184124515648946</v>
      </c>
    </row>
    <row r="14" spans="1:3" ht="15" customHeight="1">
      <c r="A14" s="83" t="s">
        <v>36</v>
      </c>
      <c r="B14" s="86" t="s">
        <v>37</v>
      </c>
      <c r="C14" s="85">
        <f>C7+Δαπάνες!B7</f>
        <v>-753.054697578114</v>
      </c>
    </row>
    <row r="15" spans="1:3" ht="15" customHeight="1" thickBot="1">
      <c r="A15" s="88" t="s">
        <v>38</v>
      </c>
      <c r="B15" s="89" t="s">
        <v>39</v>
      </c>
      <c r="C15" s="90">
        <f>C7+Δαπάνες!B13</f>
        <v>-15.612197578113864</v>
      </c>
    </row>
    <row r="16" ht="15" customHeight="1" thickTop="1"/>
    <row r="19" spans="1:3" ht="30.75" customHeight="1">
      <c r="A19" s="93" t="s">
        <v>130</v>
      </c>
      <c r="B19" s="78" t="s">
        <v>123</v>
      </c>
      <c r="C19" s="79">
        <f>Δαπάνες!B62/Δεδομένα!B59</f>
        <v>0.1930378677313764</v>
      </c>
    </row>
    <row r="21" spans="1:3" ht="15" customHeight="1" thickBot="1">
      <c r="A21" s="136" t="s">
        <v>129</v>
      </c>
      <c r="B21" s="136"/>
      <c r="C21" s="136"/>
    </row>
    <row r="22" spans="1:3" ht="15" customHeight="1" thickTop="1">
      <c r="A22" s="80" t="s">
        <v>40</v>
      </c>
      <c r="B22" s="81" t="s">
        <v>41</v>
      </c>
      <c r="C22" s="82" t="s">
        <v>42</v>
      </c>
    </row>
    <row r="23" spans="1:3" ht="15" customHeight="1">
      <c r="A23" s="83" t="s">
        <v>23</v>
      </c>
      <c r="B23" s="84" t="s">
        <v>24</v>
      </c>
      <c r="C23" s="85">
        <f>Δεδομένα!B59*Δεδομένα!B60</f>
        <v>14850</v>
      </c>
    </row>
    <row r="24" spans="1:3" ht="15" customHeight="1">
      <c r="A24" s="83" t="s">
        <v>25</v>
      </c>
      <c r="B24" s="86" t="s">
        <v>26</v>
      </c>
      <c r="C24" s="85">
        <f>C23-Δαπάνες!B62</f>
        <v>-1075.6240878385543</v>
      </c>
    </row>
    <row r="25" spans="1:3" ht="15" customHeight="1">
      <c r="A25" s="83" t="s">
        <v>27</v>
      </c>
      <c r="B25" s="86" t="s">
        <v>28</v>
      </c>
      <c r="C25" s="85">
        <f>C23-Δαπάνες!C62</f>
        <v>4316.99475</v>
      </c>
    </row>
    <row r="26" spans="1:3" ht="15" customHeight="1">
      <c r="A26" s="83" t="s">
        <v>124</v>
      </c>
      <c r="B26" s="86" t="s">
        <v>29</v>
      </c>
      <c r="C26" s="85">
        <f>C23-Δαπάνες!E62</f>
        <v>2814.454306386653</v>
      </c>
    </row>
    <row r="27" spans="1:3" ht="15" customHeight="1">
      <c r="A27" s="83" t="s">
        <v>125</v>
      </c>
      <c r="B27" s="86" t="s">
        <v>30</v>
      </c>
      <c r="C27" s="85">
        <f>C24+Δαπάνες!B40+Δαπάνες!B44+Δαπάνες!B45+Δαπάνες!B50+Δαπάνες!B53+Δαπάνες!B60</f>
        <v>1794.4543063866524</v>
      </c>
    </row>
    <row r="28" spans="1:3" ht="15" customHeight="1">
      <c r="A28" s="83" t="s">
        <v>126</v>
      </c>
      <c r="B28" s="86" t="s">
        <v>31</v>
      </c>
      <c r="C28" s="92">
        <f>C27/'Αποσβέσεις-ΜΕΚ'!C56</f>
        <v>0.03700761152506478</v>
      </c>
    </row>
    <row r="29" spans="1:3" ht="15" customHeight="1">
      <c r="A29" s="83" t="s">
        <v>32</v>
      </c>
      <c r="B29" s="87" t="s">
        <v>33</v>
      </c>
      <c r="C29" s="85">
        <f>C27</f>
        <v>1794.4543063866524</v>
      </c>
    </row>
    <row r="30" spans="1:3" ht="15" customHeight="1">
      <c r="A30" s="83" t="s">
        <v>34</v>
      </c>
      <c r="B30" s="86" t="s">
        <v>35</v>
      </c>
      <c r="C30" s="92">
        <f>C29/'Αποσβέσεις-ΜΕΚ'!C56</f>
        <v>0.03700761152506478</v>
      </c>
    </row>
    <row r="31" spans="1:3" ht="15" customHeight="1">
      <c r="A31" s="83" t="s">
        <v>36</v>
      </c>
      <c r="B31" s="86" t="s">
        <v>37</v>
      </c>
      <c r="C31" s="85">
        <f>C24+Δαπάνες!B40</f>
        <v>924.3759121614457</v>
      </c>
    </row>
    <row r="32" spans="1:3" ht="15" customHeight="1" thickBot="1">
      <c r="A32" s="88" t="s">
        <v>38</v>
      </c>
      <c r="B32" s="89" t="s">
        <v>39</v>
      </c>
      <c r="C32" s="90">
        <f>C24+Δαπάνες!B46</f>
        <v>-22.47408783855417</v>
      </c>
    </row>
    <row r="33" ht="15" customHeight="1" thickTop="1"/>
    <row r="36" spans="1:3" ht="15" customHeight="1" thickBot="1">
      <c r="A36" s="136" t="s">
        <v>131</v>
      </c>
      <c r="B36" s="136"/>
      <c r="C36" s="136"/>
    </row>
    <row r="37" spans="1:3" ht="15" customHeight="1" thickTop="1">
      <c r="A37" s="80" t="s">
        <v>40</v>
      </c>
      <c r="B37" s="81" t="s">
        <v>41</v>
      </c>
      <c r="C37" s="82" t="s">
        <v>42</v>
      </c>
    </row>
    <row r="38" spans="1:3" ht="15" customHeight="1">
      <c r="A38" s="83" t="s">
        <v>23</v>
      </c>
      <c r="B38" s="84" t="s">
        <v>24</v>
      </c>
      <c r="C38" s="85">
        <f>C6+C23</f>
        <v>17243</v>
      </c>
    </row>
    <row r="39" spans="1:3" ht="15" customHeight="1">
      <c r="A39" s="83" t="s">
        <v>25</v>
      </c>
      <c r="B39" s="86" t="s">
        <v>26</v>
      </c>
      <c r="C39" s="85">
        <f>C38-Δαπάνες!B94</f>
        <v>-2228.6787854166687</v>
      </c>
    </row>
    <row r="40" spans="1:3" ht="15" customHeight="1">
      <c r="A40" s="83" t="s">
        <v>27</v>
      </c>
      <c r="B40" s="86" t="s">
        <v>28</v>
      </c>
      <c r="C40" s="85">
        <f>C38-Δαπάνες!C94</f>
        <v>5369.477150000001</v>
      </c>
    </row>
    <row r="41" spans="1:3" ht="15" customHeight="1">
      <c r="A41" s="83" t="s">
        <v>124</v>
      </c>
      <c r="B41" s="86" t="s">
        <v>29</v>
      </c>
      <c r="C41" s="85">
        <f>C38-Δαπάνες!E94</f>
        <v>3331.7108333333326</v>
      </c>
    </row>
    <row r="42" spans="1:3" ht="15" customHeight="1">
      <c r="A42" s="83" t="s">
        <v>125</v>
      </c>
      <c r="B42" s="86" t="s">
        <v>30</v>
      </c>
      <c r="C42" s="85">
        <f>C39+Δαπάνες!B72+Δαπάνες!B76+Δαπάνες!B77+Δαπάνες!B82+Δαπάνες!B85+Δαπάνες!B92</f>
        <v>1576.7108333333313</v>
      </c>
    </row>
    <row r="43" spans="1:3" ht="15" customHeight="1">
      <c r="A43" s="83" t="s">
        <v>126</v>
      </c>
      <c r="B43" s="86" t="s">
        <v>31</v>
      </c>
      <c r="C43" s="92">
        <f>C42/'Αποσβέσεις-ΜΕΚ'!C61</f>
        <v>0.02469785139933163</v>
      </c>
    </row>
    <row r="44" spans="1:3" ht="15" customHeight="1">
      <c r="A44" s="83" t="s">
        <v>32</v>
      </c>
      <c r="B44" s="87" t="s">
        <v>33</v>
      </c>
      <c r="C44" s="85">
        <f>C42</f>
        <v>1576.7108333333313</v>
      </c>
    </row>
    <row r="45" spans="1:3" ht="15" customHeight="1">
      <c r="A45" s="83" t="s">
        <v>34</v>
      </c>
      <c r="B45" s="86" t="s">
        <v>35</v>
      </c>
      <c r="C45" s="92">
        <f>C44/'Αποσβέσεις-ΜΕΚ'!C61</f>
        <v>0.02469785139933163</v>
      </c>
    </row>
    <row r="46" spans="1:3" ht="15" customHeight="1">
      <c r="A46" s="83" t="s">
        <v>36</v>
      </c>
      <c r="B46" s="86" t="s">
        <v>37</v>
      </c>
      <c r="C46" s="85">
        <f>C39+Δαπάνες!B72</f>
        <v>171.3212145833313</v>
      </c>
    </row>
    <row r="47" spans="1:3" ht="15" customHeight="1" thickBot="1">
      <c r="A47" s="88" t="s">
        <v>38</v>
      </c>
      <c r="B47" s="89" t="s">
        <v>39</v>
      </c>
      <c r="C47" s="90">
        <f>C39+Δαπάνες!B78</f>
        <v>-38.08628541666849</v>
      </c>
    </row>
    <row r="48" ht="15" customHeight="1" thickTop="1"/>
  </sheetData>
  <sheetProtection/>
  <mergeCells count="3">
    <mergeCell ref="A4:C4"/>
    <mergeCell ref="A21:C21"/>
    <mergeCell ref="A36:C36"/>
  </mergeCells>
  <printOptions/>
  <pageMargins left="0.32" right="0.16" top="0.56" bottom="0.64" header="0.4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Nellas Lefteris</dc:creator>
  <cp:keywords/>
  <dc:description/>
  <cp:lastModifiedBy>Windows User</cp:lastModifiedBy>
  <cp:lastPrinted>2003-04-10T12:36:32Z</cp:lastPrinted>
  <dcterms:created xsi:type="dcterms:W3CDTF">1999-07-01T08:48:54Z</dcterms:created>
  <dcterms:modified xsi:type="dcterms:W3CDTF">2018-02-28T21:04:23Z</dcterms:modified>
  <cp:category/>
  <cp:version/>
  <cp:contentType/>
  <cp:contentStatus/>
</cp:coreProperties>
</file>