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40" windowHeight="6795" firstSheet="6" activeTab="10"/>
  </bookViews>
  <sheets>
    <sheet name="Απαιτήσεις" sheetId="1" r:id="rId1"/>
    <sheet name="1ο σύστ.διατροφης" sheetId="2" r:id="rId2"/>
    <sheet name="2ο σύστημα διατροφης" sheetId="3" r:id="rId3"/>
    <sheet name="3ο σύστημα διατροφής" sheetId="4" r:id="rId4"/>
    <sheet name="4ο σύστημα διατροφής" sheetId="5" r:id="rId5"/>
    <sheet name="1η  αμειψισπορα" sheetId="6" r:id="rId6"/>
    <sheet name="2η αμειψισπορα" sheetId="7" r:id="rId7"/>
    <sheet name="3η αμειψισπορά" sheetId="8" r:id="rId8"/>
    <sheet name="Αναφορά απάντησης 1" sheetId="9" r:id="rId9"/>
    <sheet name="Αναφορά ευαισθησίας 1" sheetId="10" r:id="rId10"/>
    <sheet name="Υπόδειγμα" sheetId="11" r:id="rId11"/>
  </sheets>
  <definedNames>
    <definedName name="lssolver_est" localSheetId="10" hidden="1">2</definedName>
    <definedName name="lssolver_itr" localSheetId="10" hidden="1">1000</definedName>
    <definedName name="lssolver_neg" localSheetId="10" hidden="1">0</definedName>
    <definedName name="lssolver_piv" localSheetId="10" hidden="1">0.000001</definedName>
    <definedName name="lssolver_pre" localSheetId="10" hidden="1">0.00000001</definedName>
    <definedName name="lssolver_red" localSheetId="10" hidden="1">0.000001</definedName>
    <definedName name="lssolver_rep" localSheetId="10" hidden="1">2</definedName>
    <definedName name="lssolver_scl" localSheetId="10" hidden="1">0</definedName>
    <definedName name="lssolver_sho" localSheetId="10" hidden="1">2</definedName>
    <definedName name="lssolver_sol" localSheetId="10" hidden="1">0.0001</definedName>
    <definedName name="lssolver_tim" localSheetId="10" hidden="1">1000</definedName>
    <definedName name="lssolver_tol" localSheetId="10" hidden="1">0.05</definedName>
    <definedName name="solver_adj" localSheetId="10" hidden="1">'Υπόδειγμα'!$C$7:$Q$7</definedName>
    <definedName name="solver_cvg" localSheetId="10" hidden="1">0.0001</definedName>
    <definedName name="solver_drv" localSheetId="10" hidden="1">1</definedName>
    <definedName name="solver_eng" localSheetId="10" hidden="1">3</definedName>
    <definedName name="solver_est" localSheetId="10" hidden="1">1</definedName>
    <definedName name="solver_itr" localSheetId="10" hidden="1">1000</definedName>
    <definedName name="solver_lhs1" localSheetId="10" hidden="1">'Υπόδειγμα'!$S$15:$S$16</definedName>
    <definedName name="solver_lhs2" localSheetId="10" hidden="1">'Υπόδειγμα'!$S$17:$S$20</definedName>
    <definedName name="solver_lhs3" localSheetId="10" hidden="1">'Υπόδειγμα'!$S$17:$S$20</definedName>
    <definedName name="solver_lin" localSheetId="10" hidden="1">1</definedName>
    <definedName name="solver_neg" localSheetId="10" hidden="1">1</definedName>
    <definedName name="solver_num" localSheetId="10" hidden="1">2</definedName>
    <definedName name="solver_nwt" localSheetId="10" hidden="1">1</definedName>
    <definedName name="solver_opt" localSheetId="10" hidden="1">'Υπόδειγμα'!$B$1</definedName>
    <definedName name="solver_piv" localSheetId="10" hidden="1">0.000001</definedName>
    <definedName name="solver_pre" localSheetId="10" hidden="1">0.00000001</definedName>
    <definedName name="solver_red" localSheetId="10" hidden="1">0.000001</definedName>
    <definedName name="solver_rel1" localSheetId="10" hidden="1">1</definedName>
    <definedName name="solver_rel2" localSheetId="10" hidden="1">2</definedName>
    <definedName name="solver_rel3" localSheetId="10" hidden="1">2</definedName>
    <definedName name="solver_rep" localSheetId="10" hidden="1">2</definedName>
    <definedName name="solver_rhs1" localSheetId="10" hidden="1">'Υπόδειγμα'!$T$15:$T$16</definedName>
    <definedName name="solver_rhs2" localSheetId="10" hidden="1">'Υπόδειγμα'!$T$17:$T$20</definedName>
    <definedName name="solver_rhs3" localSheetId="10" hidden="1">'Υπόδειγμα'!$T$17:$T$20</definedName>
    <definedName name="solver_scl" localSheetId="10" hidden="1">2</definedName>
    <definedName name="solver_sho" localSheetId="10" hidden="1">2</definedName>
    <definedName name="solver_sol" localSheetId="10" hidden="1">0.0001</definedName>
    <definedName name="solver_tim" localSheetId="10" hidden="1">1000</definedName>
    <definedName name="solver_tol" localSheetId="10" hidden="1">0.05</definedName>
    <definedName name="solver_typ" localSheetId="10" hidden="1">1</definedName>
    <definedName name="solver_val" localSheetId="10" hidden="1">0</definedName>
  </definedNames>
  <calcPr fullCalcOnLoad="1"/>
</workbook>
</file>

<file path=xl/sharedStrings.xml><?xml version="1.0" encoding="utf-8"?>
<sst xmlns="http://schemas.openxmlformats.org/spreadsheetml/2006/main" count="441" uniqueCount="203">
  <si>
    <t>ΝΜ συντήρησης ανά ζώο</t>
  </si>
  <si>
    <t>ΝΜ εγκυμοσύνηςα ανά ζώο</t>
  </si>
  <si>
    <t>Ζωοτροφή</t>
  </si>
  <si>
    <t>%</t>
  </si>
  <si>
    <t>ΝΜ/κιλό ζωοτροφής</t>
  </si>
  <si>
    <t>ΝΜ/Κgr μίγματος</t>
  </si>
  <si>
    <t>Αραβόσιτος</t>
  </si>
  <si>
    <t>Κριθάρι</t>
  </si>
  <si>
    <t>Πίτυρα</t>
  </si>
  <si>
    <t>Σογιάλευρο</t>
  </si>
  <si>
    <t>Μαρμαρόσκονη</t>
  </si>
  <si>
    <t>Αλάτι</t>
  </si>
  <si>
    <t>ΣΥΝΟΛΟ</t>
  </si>
  <si>
    <t>Βαμβακόπιττα</t>
  </si>
  <si>
    <t>Πούλπα ζαχαροτεύτλων ξηρή</t>
  </si>
  <si>
    <t>Σανός μηδικής</t>
  </si>
  <si>
    <t>Σανός βίκου</t>
  </si>
  <si>
    <t>Άχυρο σίτου</t>
  </si>
  <si>
    <t>Γάλα σκόνη κτηνοτροφικό</t>
  </si>
  <si>
    <t>Μελάσσα</t>
  </si>
  <si>
    <t>ΝΜ γαλακτοπαραγωγής ανάζώο (0,4 ΝΜ/λιτ. γαλακ.) - 5200 λιτ. γάλα/αγελάδα</t>
  </si>
  <si>
    <t>m2/κεφαλή</t>
  </si>
  <si>
    <t>Απαιτήσεις χώρων (με διαδρόμους κυκλοφορίας)</t>
  </si>
  <si>
    <t>ΝΜ</t>
  </si>
  <si>
    <t>ΣΥΝΟΛΟ (έτος)</t>
  </si>
  <si>
    <t>Κιλά</t>
  </si>
  <si>
    <t>Μηδική (6 κιλά /μέρα)</t>
  </si>
  <si>
    <t>Άχυρο (4 κιλά/μέρα)</t>
  </si>
  <si>
    <t>2 σύστημα διατροφής</t>
  </si>
  <si>
    <t>Μηδική (4 κιλά /μέρα)</t>
  </si>
  <si>
    <t>Άχυρο (2 κιλά/μέρα)</t>
  </si>
  <si>
    <t>Μίγμα</t>
  </si>
  <si>
    <t>Αραβόσιτος ενσίρωμα (12 κιλά/μέρα)</t>
  </si>
  <si>
    <t>ΠΑΟ</t>
  </si>
  <si>
    <t>ΠΑΟ (gr/κιλό)</t>
  </si>
  <si>
    <t>ΠΑΟ/κιλό μίγματος</t>
  </si>
  <si>
    <t>Πoύλπα ζαχαροτεύτλων νωπή</t>
  </si>
  <si>
    <t>Αραβόσιτος ενσίρωμα</t>
  </si>
  <si>
    <t>Άχυρο (6,2 κιλά/μέρα)</t>
  </si>
  <si>
    <t>Καρποί δημητριακών (2,2 κιλά/μέρα)</t>
  </si>
  <si>
    <t>Σογιάλευρο (1,4 κιλά/μέρα)</t>
  </si>
  <si>
    <t>κριθάρι</t>
  </si>
  <si>
    <t>αραβόσιτος ενσίρωμα</t>
  </si>
  <si>
    <t>1 αμειψισπορά (6ετης)</t>
  </si>
  <si>
    <t>2η αμειψισπορά (6ετής)</t>
  </si>
  <si>
    <t>3η αμειψισπορά (7ετής)</t>
  </si>
  <si>
    <t>ΠΑΟ γρ</t>
  </si>
  <si>
    <t>Μίγμα (7,3 κιλά/μέρα)</t>
  </si>
  <si>
    <t>Μηδική (2,9 κιλά /μέρα)</t>
  </si>
  <si>
    <t>Αραβόσιτος ενσίρωμα (21,9 κιλά/μέρα)</t>
  </si>
  <si>
    <t>Καρποί δημητριακών (3,1κιλά/μέρα)</t>
  </si>
  <si>
    <t>Βαμβακόπιττα (1,5 κιλά/μέρα)</t>
  </si>
  <si>
    <t>Μίγμα (5,8 κιλά/μέρα)</t>
  </si>
  <si>
    <t>Αραβόσιτος ενσίρωμα (23,7 κιλά/μέρα)</t>
  </si>
  <si>
    <t>ΠΑΟ (γρ/κιλό ζωοτροφής)</t>
  </si>
  <si>
    <t>Ανάγκες ανά αγελάδα (γαλακτοπαραγωγή 5200λιτ/κεφαλή)</t>
  </si>
  <si>
    <t>Σύνολο ανά αγελάδα</t>
  </si>
  <si>
    <t>Δεμένα με μόσχους έως 4 μηνών</t>
  </si>
  <si>
    <t>Ελεύθερα με μόσχους έως 4 μηνών</t>
  </si>
  <si>
    <t>1ο  σύστημα διατροφής</t>
  </si>
  <si>
    <t>3ο  σύστημα διατροφής</t>
  </si>
  <si>
    <t>4ο  σύστημα διατροφής</t>
  </si>
  <si>
    <t>Απαιτήσεις σε ζωοτροφές/κεφαλή</t>
  </si>
  <si>
    <t>Μηδική</t>
  </si>
  <si>
    <t>Άχυρο</t>
  </si>
  <si>
    <t>Αραβόσιτος καρπός</t>
  </si>
  <si>
    <t>αραβόσιτος καρπός</t>
  </si>
  <si>
    <t>Χρόνια</t>
  </si>
  <si>
    <t xml:space="preserve">μηδική </t>
  </si>
  <si>
    <t>Συνολική παραγωγή  (κιλά)</t>
  </si>
  <si>
    <t xml:space="preserve">Μηδική </t>
  </si>
  <si>
    <t>Ακαθάριστη Πρόσοδος</t>
  </si>
  <si>
    <t>Μεταβλητές δαπάνες</t>
  </si>
  <si>
    <t>Κριθάρι καρπός</t>
  </si>
  <si>
    <t>Ακαθάριστο κέρδος/αγελάδα</t>
  </si>
  <si>
    <t>Συνολο Μτ. Δαπ.</t>
  </si>
  <si>
    <t>Βαμβακόπιτα</t>
  </si>
  <si>
    <t>Αχυρο</t>
  </si>
  <si>
    <t>Μεταβλητές δαπάνες/χρονο</t>
  </si>
  <si>
    <t>Σύνολο μεταβλ. δαπανών</t>
  </si>
  <si>
    <t>Χ1</t>
  </si>
  <si>
    <t>Αμειψισπορά 1</t>
  </si>
  <si>
    <t>Αμειψισπορά 2</t>
  </si>
  <si>
    <t>Χ2</t>
  </si>
  <si>
    <t>Αμειψισπορά 3</t>
  </si>
  <si>
    <t>Χ3</t>
  </si>
  <si>
    <t>Αγορά αραβοσίτου καρπού</t>
  </si>
  <si>
    <t>Αγορά μηδικής</t>
  </si>
  <si>
    <t xml:space="preserve">Αγορά αραβοσίτου ενσιρώματος </t>
  </si>
  <si>
    <t>Αγορά κριθαριού</t>
  </si>
  <si>
    <t>Εκτροφή 1</t>
  </si>
  <si>
    <t>Εκτροφή 2</t>
  </si>
  <si>
    <t>Εκτροφή 3</t>
  </si>
  <si>
    <t>Εκτροφή 4</t>
  </si>
  <si>
    <t>Πώληση αραβοσίτου καρπού</t>
  </si>
  <si>
    <t xml:space="preserve">Πώληση αραβοσίτου ενσιρώματος </t>
  </si>
  <si>
    <t>Πώληση κριθαριού</t>
  </si>
  <si>
    <t>Πώληση μηδικής</t>
  </si>
  <si>
    <t>Χ4</t>
  </si>
  <si>
    <t>Χ5</t>
  </si>
  <si>
    <t>Χ6</t>
  </si>
  <si>
    <t>Χ7</t>
  </si>
  <si>
    <t>Χ8</t>
  </si>
  <si>
    <t>Χ9</t>
  </si>
  <si>
    <t>Χ10</t>
  </si>
  <si>
    <t>Χ11</t>
  </si>
  <si>
    <t>Χ12</t>
  </si>
  <si>
    <t>Χ13</t>
  </si>
  <si>
    <t>Χ14</t>
  </si>
  <si>
    <t>Χ15</t>
  </si>
  <si>
    <t>Εδαφος</t>
  </si>
  <si>
    <t>Σταβλος</t>
  </si>
  <si>
    <t>Αραβόσιτος ενσιρώματος</t>
  </si>
  <si>
    <t>Οικονομικοί συντελεστές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</si>
  <si>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</si>
  <si>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</si>
  <si>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</si>
  <si>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</si>
  <si>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</si>
  <si>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</si>
  <si>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</si>
  <si>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</si>
  <si>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</si>
  <si>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</si>
  <si>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</si>
  <si>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</si>
  <si>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</si>
  <si>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</si>
  <si>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</si>
  <si>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Τιμή αγοράς(ευρώ/κιλό)</t>
  </si>
  <si>
    <t>&lt;</t>
  </si>
  <si>
    <t>=</t>
  </si>
  <si>
    <t>max Z</t>
  </si>
  <si>
    <t>Τιμή πώλησης από την εκμετάλλυση (ευρώ/κιλό)</t>
  </si>
  <si>
    <t>Κύκλος εναλλαγής καλλιεργειών</t>
  </si>
  <si>
    <t>Απόδοση ανά στρέμμα (κιλά/στρέμμα)</t>
  </si>
  <si>
    <t>Σύνολο μεταβλ. δαπανών (ευρώ)</t>
  </si>
  <si>
    <t>Μεταβλητές δαπάνες / χρονο</t>
  </si>
  <si>
    <t>Τιμή αγοράς/κιλό</t>
  </si>
  <si>
    <t>Τιμή πώλησης γάλακτος (ευρω/λιτρο)</t>
  </si>
  <si>
    <t>Παραγωγή γάλακτος (λίτρα/κεφαλή)</t>
  </si>
  <si>
    <t>Αξία γάλακτος</t>
  </si>
  <si>
    <t xml:space="preserve">Αξία μόσχου </t>
  </si>
  <si>
    <t>Σύνολο</t>
  </si>
  <si>
    <t>Φύλλο εργασίας: [LPelevage2.1.xls]Υπόδειγμα</t>
  </si>
  <si>
    <t>Κελί προορισμού (Μέγιστο)</t>
  </si>
  <si>
    <t>Κελί</t>
  </si>
  <si>
    <t>Όνομα</t>
  </si>
  <si>
    <t>Αρχική τιμή</t>
  </si>
  <si>
    <t>Τελική τιμή</t>
  </si>
  <si>
    <t>Ρυθμιζόμενα κελιά</t>
  </si>
  <si>
    <t>Περιορισμοί</t>
  </si>
  <si>
    <t>Τιμή κελιού</t>
  </si>
  <si>
    <t>Τύπος</t>
  </si>
  <si>
    <t>Κατάσταση</t>
  </si>
  <si>
    <t>Απόκλιση</t>
  </si>
  <si>
    <t>$B$1</t>
  </si>
  <si>
    <t>$C$7</t>
  </si>
  <si>
    <t>$D$7</t>
  </si>
  <si>
    <t>$E$7</t>
  </si>
  <si>
    <t>$F$7</t>
  </si>
  <si>
    <t>$G$7</t>
  </si>
  <si>
    <t>$H$7</t>
  </si>
  <si>
    <t>$I$7</t>
  </si>
  <si>
    <t>$J$7</t>
  </si>
  <si>
    <t>$K$7</t>
  </si>
  <si>
    <t>$L$7</t>
  </si>
  <si>
    <t>$M$7</t>
  </si>
  <si>
    <t>$N$7</t>
  </si>
  <si>
    <t>$O$7</t>
  </si>
  <si>
    <t>$P$7</t>
  </si>
  <si>
    <t>$Q$7</t>
  </si>
  <si>
    <t>$S$15</t>
  </si>
  <si>
    <t>$S$15&lt;=$T$15</t>
  </si>
  <si>
    <t>Υποχρεωτικός</t>
  </si>
  <si>
    <t>$S$16</t>
  </si>
  <si>
    <t>$S$16&lt;=$T$16</t>
  </si>
  <si>
    <t>$S$17</t>
  </si>
  <si>
    <t>$S$17=$T$17</t>
  </si>
  <si>
    <t>Μη υποχρεωτικός</t>
  </si>
  <si>
    <t>$S$18</t>
  </si>
  <si>
    <t>$S$18=$T$18</t>
  </si>
  <si>
    <t>$S$19</t>
  </si>
  <si>
    <t>$S$19=$T$19</t>
  </si>
  <si>
    <t>$S$20</t>
  </si>
  <si>
    <t>$S$20=$T$20</t>
  </si>
  <si>
    <t>Τελική</t>
  </si>
  <si>
    <t>τιμή</t>
  </si>
  <si>
    <t>Μειωμένο</t>
  </si>
  <si>
    <t>κόστος</t>
  </si>
  <si>
    <t>Αντικειμενικός</t>
  </si>
  <si>
    <t>συντελεστής</t>
  </si>
  <si>
    <t>Επιτρεπόμενη</t>
  </si>
  <si>
    <t>αύξηση</t>
  </si>
  <si>
    <t>μείωση</t>
  </si>
  <si>
    <t>Σκιώδης</t>
  </si>
  <si>
    <t>Περιορισμός</t>
  </si>
  <si>
    <t>R.H. Side</t>
  </si>
  <si>
    <t>Microsoft Excel 11.0 Αναφορά απάντησης</t>
  </si>
  <si>
    <t>Microsoft Excel 11.0 Αναφορά ευαισθησίας</t>
  </si>
  <si>
    <t>Ημερομηνία δημιουργίας αναφοράς: 12/1/2010 1:15:22 πμ</t>
  </si>
  <si>
    <t>MAX</t>
  </si>
  <si>
    <t>MIN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</si>
</sst>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"/>
    <numFmt numFmtId="181" formatCode="0.000"/>
    <numFmt numFmtId="182" formatCode="&quot;Ναι&quot;;&quot;Ναι&quot;;&quot;'Οχι&quot;"/>
    <numFmt numFmtId="183" formatCode="&quot;Αληθές&quot;;&quot;Αληθές&quot;;&quot;Ψευδές&quot;"/>
    <numFmt numFmtId="184" formatCode="&quot;Ενεργοποίηση&quot;;&quot;Ενεργοποίηση&quot;;&quot;Απενεργοποίηση&quot;"/>
    <numFmt numFmtId="185" formatCode="[$€-2]\ #,##0.00_);[Red]\([$€-2]\ #,##0.00\)"/>
  </numFmts>
  <fonts count="43">
    <font>
      <sz val="10"/>
      <name val="Arial Greek"/>
      <family val="0"/>
    </font>
    <font>
      <b/>
      <sz val="10"/>
      <name val="Arial Greek"/>
      <family val="2"/>
    </font>
    <font>
      <sz val="8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i/>
      <sz val="10"/>
      <name val="Arial Greek"/>
      <family val="2"/>
    </font>
    <font>
      <b/>
      <i/>
      <sz val="10"/>
      <name val="Arial Greek"/>
      <family val="2"/>
    </font>
    <font>
      <b/>
      <sz val="8"/>
      <name val="Arial Greek"/>
      <family val="2"/>
    </font>
    <font>
      <b/>
      <sz val="10"/>
      <color indexed="18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wrapText="1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2" fontId="0" fillId="0" borderId="10" xfId="0" applyNumberFormat="1" applyBorder="1" applyAlignment="1">
      <alignment/>
    </xf>
    <xf numFmtId="3" fontId="0" fillId="0" borderId="0" xfId="59" applyNumberFormat="1" applyFont="1" applyAlignment="1">
      <alignment/>
    </xf>
    <xf numFmtId="180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wrapText="1"/>
    </xf>
    <xf numFmtId="181" fontId="0" fillId="0" borderId="10" xfId="0" applyNumberFormat="1" applyBorder="1" applyAlignment="1">
      <alignment/>
    </xf>
    <xf numFmtId="181" fontId="1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2" fontId="1" fillId="0" borderId="10" xfId="0" applyNumberFormat="1" applyFont="1" applyBorder="1" applyAlignment="1">
      <alignment horizontal="center" wrapText="1"/>
    </xf>
    <xf numFmtId="181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 horizontal="right" wrapText="1"/>
    </xf>
    <xf numFmtId="181" fontId="0" fillId="0" borderId="10" xfId="0" applyNumberFormat="1" applyFont="1" applyBorder="1" applyAlignment="1">
      <alignment horizontal="right" wrapText="1"/>
    </xf>
    <xf numFmtId="0" fontId="0" fillId="0" borderId="0" xfId="0" applyFont="1" applyAlignment="1">
      <alignment wrapText="1"/>
    </xf>
    <xf numFmtId="18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180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1" fontId="5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0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6" fillId="0" borderId="0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12" xfId="0" applyNumberFormat="1" applyFill="1" applyBorder="1" applyAlignment="1">
      <alignment/>
    </xf>
    <xf numFmtId="1" fontId="0" fillId="0" borderId="11" xfId="0" applyNumberFormat="1" applyFill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2" fontId="0" fillId="35" borderId="0" xfId="0" applyNumberFormat="1" applyFont="1" applyFill="1" applyAlignment="1">
      <alignment horizontal="center"/>
    </xf>
    <xf numFmtId="2" fontId="0" fillId="34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36" borderId="0" xfId="0" applyFill="1" applyAlignment="1">
      <alignment/>
    </xf>
    <xf numFmtId="2" fontId="0" fillId="36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47"/>
  <sheetViews>
    <sheetView zoomScalePageLayoutView="0" workbookViewId="0" topLeftCell="B1">
      <selection activeCell="C4" sqref="C4"/>
    </sheetView>
  </sheetViews>
  <sheetFormatPr defaultColWidth="9.00390625" defaultRowHeight="12.75"/>
  <cols>
    <col min="2" max="2" width="44.75390625" style="0" customWidth="1"/>
    <col min="3" max="3" width="10.00390625" style="0" customWidth="1"/>
    <col min="4" max="4" width="10.625" style="0" customWidth="1"/>
    <col min="5" max="5" width="9.625" style="0" customWidth="1"/>
    <col min="6" max="6" width="20.125" style="0" customWidth="1"/>
    <col min="7" max="8" width="11.25390625" style="0" customWidth="1"/>
    <col min="9" max="9" width="10.375" style="0" customWidth="1"/>
  </cols>
  <sheetData>
    <row r="4" spans="6:7" ht="30" customHeight="1">
      <c r="F4" s="70" t="s">
        <v>22</v>
      </c>
      <c r="G4" s="70"/>
    </row>
    <row r="5" spans="2:7" ht="25.5">
      <c r="B5" s="26" t="s">
        <v>55</v>
      </c>
      <c r="C5" s="26" t="s">
        <v>23</v>
      </c>
      <c r="D5" s="26" t="s">
        <v>46</v>
      </c>
      <c r="G5" s="4" t="s">
        <v>21</v>
      </c>
    </row>
    <row r="6" spans="2:15" ht="38.25" customHeight="1">
      <c r="B6" s="2" t="s">
        <v>20</v>
      </c>
      <c r="C6" s="1">
        <f>5200*0.4</f>
        <v>2080</v>
      </c>
      <c r="D6" s="1">
        <f>5200*50</f>
        <v>260000</v>
      </c>
      <c r="F6" s="4" t="s">
        <v>57</v>
      </c>
      <c r="G6">
        <v>10</v>
      </c>
      <c r="N6" s="4"/>
      <c r="O6" s="10"/>
    </row>
    <row r="7" spans="2:15" ht="25.5" customHeight="1">
      <c r="B7" s="1" t="s">
        <v>0</v>
      </c>
      <c r="C7" s="1">
        <v>1650</v>
      </c>
      <c r="D7" s="1">
        <f>285*365</f>
        <v>104025</v>
      </c>
      <c r="F7" s="4" t="s">
        <v>58</v>
      </c>
      <c r="G7">
        <v>12</v>
      </c>
      <c r="O7" s="9"/>
    </row>
    <row r="8" spans="2:15" ht="26.25" customHeight="1">
      <c r="B8" s="1" t="s">
        <v>1</v>
      </c>
      <c r="C8" s="1">
        <v>100</v>
      </c>
      <c r="D8" s="1">
        <f>550*60</f>
        <v>33000</v>
      </c>
      <c r="F8" s="4"/>
      <c r="O8" s="9"/>
    </row>
    <row r="9" spans="2:15" ht="29.25" customHeight="1">
      <c r="B9" s="3" t="s">
        <v>56</v>
      </c>
      <c r="C9" s="3">
        <f>SUM(C6:C8)</f>
        <v>3830</v>
      </c>
      <c r="D9" s="3">
        <f>SUM(D6:D8)</f>
        <v>397025</v>
      </c>
      <c r="E9" s="5"/>
      <c r="F9" s="4"/>
      <c r="O9" s="9"/>
    </row>
    <row r="10" ht="12.75">
      <c r="O10" s="9"/>
    </row>
    <row r="11" ht="12.75">
      <c r="O11" s="9"/>
    </row>
    <row r="14" spans="2:6" ht="47.25" customHeight="1">
      <c r="B14" s="14" t="s">
        <v>2</v>
      </c>
      <c r="C14" s="14" t="s">
        <v>4</v>
      </c>
      <c r="D14" s="2" t="s">
        <v>54</v>
      </c>
      <c r="E14" s="2" t="s">
        <v>129</v>
      </c>
      <c r="F14" s="2" t="s">
        <v>133</v>
      </c>
    </row>
    <row r="15" spans="2:6" ht="12.75">
      <c r="B15" s="2" t="s">
        <v>65</v>
      </c>
      <c r="C15" s="2">
        <v>1.12</v>
      </c>
      <c r="D15" s="2">
        <v>76</v>
      </c>
      <c r="E15" s="1">
        <v>0.18</v>
      </c>
      <c r="F15" s="16">
        <v>0.14</v>
      </c>
    </row>
    <row r="16" spans="2:6" ht="12.75">
      <c r="B16" s="2" t="s">
        <v>73</v>
      </c>
      <c r="C16" s="2">
        <v>1</v>
      </c>
      <c r="D16" s="2">
        <v>81</v>
      </c>
      <c r="E16" s="1">
        <v>0.18</v>
      </c>
      <c r="F16" s="16">
        <v>0.14</v>
      </c>
    </row>
    <row r="17" spans="2:6" ht="12.75">
      <c r="B17" s="2" t="s">
        <v>8</v>
      </c>
      <c r="C17" s="2">
        <v>0.69</v>
      </c>
      <c r="D17" s="2">
        <v>111</v>
      </c>
      <c r="E17" s="1">
        <v>0.21</v>
      </c>
      <c r="F17" s="1"/>
    </row>
    <row r="18" spans="2:6" ht="12.75">
      <c r="B18" s="2" t="s">
        <v>13</v>
      </c>
      <c r="C18" s="2">
        <v>0.48</v>
      </c>
      <c r="D18" s="2">
        <v>188</v>
      </c>
      <c r="E18" s="1">
        <v>0.15</v>
      </c>
      <c r="F18" s="1"/>
    </row>
    <row r="19" spans="2:6" ht="12.75">
      <c r="B19" s="2" t="s">
        <v>9</v>
      </c>
      <c r="C19" s="2">
        <v>1.06</v>
      </c>
      <c r="D19" s="2">
        <v>411</v>
      </c>
      <c r="E19" s="1">
        <v>0.38</v>
      </c>
      <c r="F19" s="1"/>
    </row>
    <row r="20" spans="2:6" ht="12.75">
      <c r="B20" s="2" t="s">
        <v>14</v>
      </c>
      <c r="C20" s="2">
        <v>0.75</v>
      </c>
      <c r="D20" s="2">
        <v>54</v>
      </c>
      <c r="E20" s="1">
        <v>0.14</v>
      </c>
      <c r="F20" s="1"/>
    </row>
    <row r="21" spans="2:6" ht="12.75">
      <c r="B21" s="2" t="s">
        <v>36</v>
      </c>
      <c r="C21" s="2">
        <v>0.1</v>
      </c>
      <c r="D21" s="2">
        <v>7</v>
      </c>
      <c r="E21" s="22">
        <f>11.7/1000</f>
        <v>0.011699999999999999</v>
      </c>
      <c r="F21" s="1"/>
    </row>
    <row r="22" spans="2:6" ht="15.75" customHeight="1">
      <c r="B22" s="2" t="s">
        <v>19</v>
      </c>
      <c r="C22" s="2">
        <v>33</v>
      </c>
      <c r="D22" s="2">
        <v>0.81</v>
      </c>
      <c r="E22" s="1">
        <v>0.06</v>
      </c>
      <c r="F22" s="1"/>
    </row>
    <row r="23" spans="2:6" ht="12.75">
      <c r="B23" s="2" t="s">
        <v>15</v>
      </c>
      <c r="C23" s="2">
        <v>0.44</v>
      </c>
      <c r="D23" s="2">
        <v>88</v>
      </c>
      <c r="E23" s="1">
        <v>0.18</v>
      </c>
      <c r="F23" s="16">
        <v>0.14</v>
      </c>
    </row>
    <row r="24" spans="2:6" ht="12.75">
      <c r="B24" s="2" t="s">
        <v>16</v>
      </c>
      <c r="C24" s="2">
        <v>0.45</v>
      </c>
      <c r="D24" s="2">
        <v>122</v>
      </c>
      <c r="E24" s="1">
        <v>0.18</v>
      </c>
      <c r="F24" s="1"/>
    </row>
    <row r="25" spans="2:6" ht="12.75">
      <c r="B25" s="2" t="s">
        <v>17</v>
      </c>
      <c r="C25" s="2">
        <v>0.17</v>
      </c>
      <c r="D25" s="2">
        <v>3</v>
      </c>
      <c r="E25" s="1">
        <v>0.07</v>
      </c>
      <c r="F25" s="1"/>
    </row>
    <row r="26" spans="2:6" ht="12.75">
      <c r="B26" s="2" t="s">
        <v>18</v>
      </c>
      <c r="C26" s="2">
        <v>0.98</v>
      </c>
      <c r="D26" s="2"/>
      <c r="E26" s="1"/>
      <c r="F26" s="1"/>
    </row>
    <row r="27" spans="2:6" ht="12.75">
      <c r="B27" s="2" t="s">
        <v>37</v>
      </c>
      <c r="C27" s="2">
        <v>0.23</v>
      </c>
      <c r="D27" s="2">
        <v>14</v>
      </c>
      <c r="E27" s="1">
        <v>0.03</v>
      </c>
      <c r="F27" s="16">
        <v>0.02</v>
      </c>
    </row>
    <row r="28" spans="2:6" ht="12.75">
      <c r="B28" s="2" t="s">
        <v>10</v>
      </c>
      <c r="C28" s="2">
        <v>0</v>
      </c>
      <c r="D28" s="2"/>
      <c r="E28" s="1"/>
      <c r="F28" s="1"/>
    </row>
    <row r="29" spans="2:6" ht="12.75">
      <c r="B29" s="2" t="s">
        <v>11</v>
      </c>
      <c r="C29" s="2">
        <v>0</v>
      </c>
      <c r="D29" s="2"/>
      <c r="E29" s="1"/>
      <c r="F29" s="1"/>
    </row>
    <row r="30" spans="6:7" ht="12.75">
      <c r="F30" s="7"/>
      <c r="G30" s="4"/>
    </row>
    <row r="41" ht="12.75">
      <c r="B41" s="6"/>
    </row>
    <row r="44" ht="12.75">
      <c r="G44" s="8"/>
    </row>
    <row r="45" ht="12.75">
      <c r="I45" s="8"/>
    </row>
    <row r="47" ht="12.75">
      <c r="B47" s="6"/>
    </row>
  </sheetData>
  <sheetProtection/>
  <mergeCells count="1">
    <mergeCell ref="F4:G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3"/>
  <sheetViews>
    <sheetView showGridLines="0" zoomScalePageLayoutView="0" workbookViewId="0" topLeftCell="A4">
      <selection activeCell="L28" sqref="L28"/>
    </sheetView>
  </sheetViews>
  <sheetFormatPr defaultColWidth="9.00390625" defaultRowHeight="12.75"/>
  <cols>
    <col min="1" max="1" width="2.25390625" style="0" customWidth="1"/>
    <col min="2" max="2" width="6.25390625" style="0" bestFit="1" customWidth="1"/>
    <col min="3" max="3" width="7.00390625" style="0" customWidth="1"/>
    <col min="4" max="4" width="13.125" style="0" bestFit="1" customWidth="1"/>
    <col min="5" max="5" width="12.625" style="0" bestFit="1" customWidth="1"/>
    <col min="6" max="6" width="14.00390625" style="0" bestFit="1" customWidth="1"/>
    <col min="7" max="8" width="13.875" style="0" bestFit="1" customWidth="1"/>
  </cols>
  <sheetData>
    <row r="1" ht="12.75">
      <c r="A1" s="53" t="s">
        <v>199</v>
      </c>
    </row>
    <row r="2" ht="12.75">
      <c r="A2" s="53" t="s">
        <v>144</v>
      </c>
    </row>
    <row r="3" ht="12.75">
      <c r="A3" s="53" t="s">
        <v>200</v>
      </c>
    </row>
    <row r="6" ht="13.5" thickBot="1">
      <c r="A6" t="s">
        <v>150</v>
      </c>
    </row>
    <row r="7" spans="2:8" ht="12.75">
      <c r="B7" s="55"/>
      <c r="C7" s="55"/>
      <c r="D7" s="55" t="s">
        <v>186</v>
      </c>
      <c r="E7" s="55" t="s">
        <v>188</v>
      </c>
      <c r="F7" s="55" t="s">
        <v>190</v>
      </c>
      <c r="G7" s="55" t="s">
        <v>192</v>
      </c>
      <c r="H7" s="55" t="s">
        <v>192</v>
      </c>
    </row>
    <row r="8" spans="2:12" ht="13.5" thickBot="1">
      <c r="B8" s="56" t="s">
        <v>146</v>
      </c>
      <c r="C8" s="56" t="s">
        <v>147</v>
      </c>
      <c r="D8" s="56" t="s">
        <v>187</v>
      </c>
      <c r="E8" s="56" t="s">
        <v>189</v>
      </c>
      <c r="F8" s="56" t="s">
        <v>191</v>
      </c>
      <c r="G8" s="56" t="s">
        <v>193</v>
      </c>
      <c r="H8" s="56" t="s">
        <v>194</v>
      </c>
      <c r="K8" s="69" t="s">
        <v>201</v>
      </c>
      <c r="L8" s="69" t="s">
        <v>202</v>
      </c>
    </row>
    <row r="9" spans="2:12" ht="12.75">
      <c r="B9" s="49" t="s">
        <v>157</v>
      </c>
      <c r="C9" s="49" t="s">
        <v>80</v>
      </c>
      <c r="D9" s="58">
        <v>10.839622641509433</v>
      </c>
      <c r="E9" s="58">
        <v>0</v>
      </c>
      <c r="F9" s="49">
        <v>-487.66071900220095</v>
      </c>
      <c r="G9" s="49">
        <v>43.367688921497226</v>
      </c>
      <c r="H9" s="49">
        <v>0.6323110785028705</v>
      </c>
      <c r="K9">
        <f>F9+G9</f>
        <v>-444.2930300807037</v>
      </c>
      <c r="L9">
        <f>F9-H9</f>
        <v>-488.29303008070383</v>
      </c>
    </row>
    <row r="10" spans="2:12" ht="12.75">
      <c r="B10" s="49" t="s">
        <v>158</v>
      </c>
      <c r="C10" s="49" t="s">
        <v>83</v>
      </c>
      <c r="D10" s="58">
        <v>22.493710691823896</v>
      </c>
      <c r="E10" s="58">
        <v>0</v>
      </c>
      <c r="F10" s="49">
        <v>-470.2930300807043</v>
      </c>
      <c r="G10" s="49">
        <v>0.63231107850287</v>
      </c>
      <c r="H10" s="49">
        <v>36.933408139485365</v>
      </c>
      <c r="K10">
        <f>F10+G10</f>
        <v>-469.6607190022014</v>
      </c>
      <c r="L10">
        <f>F10-H10</f>
        <v>-507.22643822018966</v>
      </c>
    </row>
    <row r="11" spans="2:12" ht="12.75">
      <c r="B11" s="49" t="s">
        <v>159</v>
      </c>
      <c r="C11" s="49" t="s">
        <v>85</v>
      </c>
      <c r="D11" s="58">
        <v>0</v>
      </c>
      <c r="E11" s="58">
        <v>-9.513150581382599</v>
      </c>
      <c r="F11" s="49">
        <v>-566.7801907556859</v>
      </c>
      <c r="G11" s="49">
        <v>9.513150581382599</v>
      </c>
      <c r="H11" s="49">
        <v>1E+30</v>
      </c>
      <c r="K11" s="67">
        <f>F11+G11</f>
        <v>-557.2670401743034</v>
      </c>
      <c r="L11" s="67">
        <f>F11-H11</f>
        <v>-1E+30</v>
      </c>
    </row>
    <row r="12" spans="2:12" ht="12.75">
      <c r="B12" s="49" t="s">
        <v>160</v>
      </c>
      <c r="C12" s="49" t="s">
        <v>98</v>
      </c>
      <c r="D12" s="58">
        <v>0</v>
      </c>
      <c r="E12" s="58">
        <v>-0.0005748282531844271</v>
      </c>
      <c r="F12" s="49">
        <v>-0.18</v>
      </c>
      <c r="G12" s="49">
        <v>0.0005748282531844271</v>
      </c>
      <c r="H12" s="49">
        <v>1E+30</v>
      </c>
      <c r="K12" s="61">
        <f>F12+G12</f>
        <v>-0.17942517174681558</v>
      </c>
      <c r="L12" s="61">
        <f>F12-H12</f>
        <v>-1E+30</v>
      </c>
    </row>
    <row r="13" spans="2:12" ht="12.75">
      <c r="B13" s="49" t="s">
        <v>161</v>
      </c>
      <c r="C13" s="49" t="s">
        <v>99</v>
      </c>
      <c r="D13" s="58">
        <v>24898.605414274134</v>
      </c>
      <c r="E13" s="58">
        <v>0</v>
      </c>
      <c r="F13" s="49">
        <v>-0.03</v>
      </c>
      <c r="G13" s="49">
        <v>0.007227948153582865</v>
      </c>
      <c r="H13" s="49">
        <v>0.00010538517975047834</v>
      </c>
      <c r="K13" s="60">
        <f>F13+G13</f>
        <v>-0.022772051846417132</v>
      </c>
      <c r="L13" s="60">
        <f>F13-H13</f>
        <v>-0.030105385179750477</v>
      </c>
    </row>
    <row r="14" spans="2:8" ht="12.75">
      <c r="B14" s="49" t="s">
        <v>162</v>
      </c>
      <c r="C14" s="49" t="s">
        <v>100</v>
      </c>
      <c r="D14" s="58">
        <v>256.918238993724</v>
      </c>
      <c r="E14" s="58">
        <v>0</v>
      </c>
      <c r="F14" s="49">
        <v>-0.18</v>
      </c>
      <c r="G14" s="49">
        <v>0.04</v>
      </c>
      <c r="H14" s="49">
        <v>0.5009585245512028</v>
      </c>
    </row>
    <row r="15" spans="2:12" ht="12.75">
      <c r="B15" s="49" t="s">
        <v>163</v>
      </c>
      <c r="C15" s="49" t="s">
        <v>101</v>
      </c>
      <c r="D15" s="58">
        <v>0</v>
      </c>
      <c r="E15" s="58">
        <v>-0.039999999999999925</v>
      </c>
      <c r="F15" s="49">
        <v>-0.18</v>
      </c>
      <c r="G15" s="49">
        <v>0.039999999999999925</v>
      </c>
      <c r="H15" s="49">
        <v>1E+30</v>
      </c>
      <c r="K15" s="62">
        <f>F16+G16</f>
        <v>1735.0850929053836</v>
      </c>
      <c r="L15" s="62">
        <f>F16-H16</f>
        <v>-1E+30</v>
      </c>
    </row>
    <row r="16" spans="2:8" ht="12.75">
      <c r="B16" s="49" t="s">
        <v>164</v>
      </c>
      <c r="C16" s="49" t="s">
        <v>102</v>
      </c>
      <c r="D16" s="58">
        <v>0</v>
      </c>
      <c r="E16" s="58">
        <v>-302.2018531954458</v>
      </c>
      <c r="F16" s="49">
        <v>1432.8832397099377</v>
      </c>
      <c r="G16" s="49">
        <v>302.2018531954458</v>
      </c>
      <c r="H16" s="49">
        <v>1E+30</v>
      </c>
    </row>
    <row r="17" spans="2:8" ht="12.75">
      <c r="B17" s="49" t="s">
        <v>165</v>
      </c>
      <c r="C17" s="49" t="s">
        <v>103</v>
      </c>
      <c r="D17" s="58">
        <v>0</v>
      </c>
      <c r="E17" s="58">
        <v>-85.05792454081266</v>
      </c>
      <c r="F17" s="49">
        <v>1748.9</v>
      </c>
      <c r="G17" s="49">
        <v>85.05792454081266</v>
      </c>
      <c r="H17" s="49">
        <v>1E+30</v>
      </c>
    </row>
    <row r="18" spans="2:8" ht="12.75">
      <c r="B18" s="49" t="s">
        <v>166</v>
      </c>
      <c r="C18" s="49" t="s">
        <v>104</v>
      </c>
      <c r="D18" s="58">
        <v>20</v>
      </c>
      <c r="E18" s="58">
        <v>0</v>
      </c>
      <c r="F18" s="49">
        <v>1716.21875</v>
      </c>
      <c r="G18" s="49">
        <v>1E+30</v>
      </c>
      <c r="H18" s="49">
        <v>81.45302047773555</v>
      </c>
    </row>
    <row r="19" spans="2:8" ht="12.75">
      <c r="B19" s="49" t="s">
        <v>167</v>
      </c>
      <c r="C19" s="49" t="s">
        <v>105</v>
      </c>
      <c r="D19" s="58">
        <v>0</v>
      </c>
      <c r="E19" s="58">
        <v>-81.45302047773556</v>
      </c>
      <c r="F19" s="49">
        <v>1450.0714761376248</v>
      </c>
      <c r="G19" s="49">
        <v>81.45302047773556</v>
      </c>
      <c r="H19" s="49">
        <v>1E+30</v>
      </c>
    </row>
    <row r="20" spans="2:8" ht="12.75">
      <c r="B20" s="49" t="s">
        <v>168</v>
      </c>
      <c r="C20" s="49" t="s">
        <v>106</v>
      </c>
      <c r="D20" s="58">
        <v>0</v>
      </c>
      <c r="E20" s="58">
        <v>-0.03942517174681561</v>
      </c>
      <c r="F20" s="49">
        <v>0.14</v>
      </c>
      <c r="G20" s="49">
        <v>0.03942517174681561</v>
      </c>
      <c r="H20" s="49">
        <v>1E+30</v>
      </c>
    </row>
    <row r="21" spans="2:8" ht="12.75">
      <c r="B21" s="49" t="s">
        <v>169</v>
      </c>
      <c r="C21" s="49" t="s">
        <v>107</v>
      </c>
      <c r="D21" s="58">
        <v>0</v>
      </c>
      <c r="E21" s="58">
        <v>-0.009999999999999981</v>
      </c>
      <c r="F21" s="49">
        <v>0.02</v>
      </c>
      <c r="G21" s="49">
        <v>0.009999999999999981</v>
      </c>
      <c r="H21" s="49">
        <v>1E+30</v>
      </c>
    </row>
    <row r="22" spans="2:8" ht="12.75">
      <c r="B22" s="49" t="s">
        <v>170</v>
      </c>
      <c r="C22" s="49" t="s">
        <v>108</v>
      </c>
      <c r="D22" s="58">
        <v>0</v>
      </c>
      <c r="E22" s="58">
        <v>-0.04</v>
      </c>
      <c r="F22" s="49">
        <v>0.14</v>
      </c>
      <c r="G22" s="49">
        <v>0.04</v>
      </c>
      <c r="H22" s="49">
        <v>1E+30</v>
      </c>
    </row>
    <row r="23" spans="2:8" ht="13.5" thickBot="1">
      <c r="B23" s="48" t="s">
        <v>171</v>
      </c>
      <c r="C23" s="48" t="s">
        <v>109</v>
      </c>
      <c r="D23" s="59">
        <v>152442.42424242425</v>
      </c>
      <c r="E23" s="59">
        <v>0</v>
      </c>
      <c r="F23" s="48">
        <v>0.14</v>
      </c>
      <c r="G23" s="48">
        <v>0.039999999999999925</v>
      </c>
      <c r="H23" s="48">
        <v>0.010976712209287608</v>
      </c>
    </row>
    <row r="25" ht="13.5" thickBot="1">
      <c r="A25" t="s">
        <v>151</v>
      </c>
    </row>
    <row r="26" spans="2:8" ht="12.75">
      <c r="B26" s="55"/>
      <c r="C26" s="55"/>
      <c r="D26" s="55" t="s">
        <v>186</v>
      </c>
      <c r="E26" s="55" t="s">
        <v>195</v>
      </c>
      <c r="F26" s="55" t="s">
        <v>196</v>
      </c>
      <c r="G26" s="55" t="s">
        <v>192</v>
      </c>
      <c r="H26" s="55" t="s">
        <v>192</v>
      </c>
    </row>
    <row r="27" spans="2:12" ht="13.5" thickBot="1">
      <c r="B27" s="56" t="s">
        <v>146</v>
      </c>
      <c r="C27" s="56" t="s">
        <v>147</v>
      </c>
      <c r="D27" s="56" t="s">
        <v>187</v>
      </c>
      <c r="E27" s="56" t="s">
        <v>187</v>
      </c>
      <c r="F27" s="56" t="s">
        <v>197</v>
      </c>
      <c r="G27" s="56" t="s">
        <v>193</v>
      </c>
      <c r="H27" s="56" t="s">
        <v>194</v>
      </c>
      <c r="K27" s="69" t="s">
        <v>201</v>
      </c>
      <c r="L27" s="69" t="s">
        <v>202</v>
      </c>
    </row>
    <row r="28" spans="2:12" ht="12.75">
      <c r="B28" s="49" t="s">
        <v>172</v>
      </c>
      <c r="C28" s="49" t="s">
        <v>130</v>
      </c>
      <c r="D28" s="51">
        <v>200</v>
      </c>
      <c r="E28" s="51">
        <v>83.4511616532161</v>
      </c>
      <c r="F28" s="49">
        <v>200</v>
      </c>
      <c r="G28" s="49">
        <v>4.404312668463844</v>
      </c>
      <c r="H28" s="49">
        <v>134.9622641509434</v>
      </c>
      <c r="K28">
        <f>F28+G28</f>
        <v>204.40431266846383</v>
      </c>
      <c r="L28">
        <f>F28-H28</f>
        <v>65.03773584905659</v>
      </c>
    </row>
    <row r="29" spans="2:12" ht="12.75">
      <c r="B29" s="49" t="s">
        <v>175</v>
      </c>
      <c r="C29" s="49" t="s">
        <v>130</v>
      </c>
      <c r="D29" s="51">
        <v>20</v>
      </c>
      <c r="E29" s="51">
        <v>1115.9092543880745</v>
      </c>
      <c r="F29" s="49">
        <v>20</v>
      </c>
      <c r="G29" s="49">
        <v>41.50275601972736</v>
      </c>
      <c r="H29" s="49">
        <v>0.4309412664504273</v>
      </c>
      <c r="K29">
        <f>F29+G29</f>
        <v>61.50275601972736</v>
      </c>
      <c r="L29">
        <f>F29-H29</f>
        <v>19.56905873354957</v>
      </c>
    </row>
    <row r="30" spans="2:8" ht="12.75">
      <c r="B30" s="49" t="s">
        <v>177</v>
      </c>
      <c r="C30" s="49" t="s">
        <v>131</v>
      </c>
      <c r="D30" s="51">
        <v>0</v>
      </c>
      <c r="E30" s="51">
        <v>-0.17942517174681544</v>
      </c>
      <c r="F30" s="49">
        <v>0</v>
      </c>
      <c r="G30" s="49">
        <v>24743.0817610063</v>
      </c>
      <c r="H30" s="49">
        <v>4564.744325950257</v>
      </c>
    </row>
    <row r="31" spans="2:8" ht="12.75">
      <c r="B31" s="49" t="s">
        <v>180</v>
      </c>
      <c r="C31" s="49" t="s">
        <v>131</v>
      </c>
      <c r="D31" s="51">
        <v>1.4551915228366852E-10</v>
      </c>
      <c r="E31" s="51">
        <v>-0.03</v>
      </c>
      <c r="F31" s="49">
        <v>0</v>
      </c>
      <c r="G31" s="49">
        <v>1E+30</v>
      </c>
      <c r="H31" s="49">
        <v>24898.605414274134</v>
      </c>
    </row>
    <row r="32" spans="2:8" ht="12.75">
      <c r="B32" s="49" t="s">
        <v>182</v>
      </c>
      <c r="C32" s="49" t="s">
        <v>131</v>
      </c>
      <c r="D32" s="51">
        <v>1.0913936421275139E-11</v>
      </c>
      <c r="E32" s="51">
        <v>-0.18</v>
      </c>
      <c r="F32" s="49">
        <v>0</v>
      </c>
      <c r="G32" s="49">
        <v>1E+30</v>
      </c>
      <c r="H32" s="49">
        <v>256.91823899372395</v>
      </c>
    </row>
    <row r="33" spans="2:8" ht="13.5" thickBot="1">
      <c r="B33" s="48" t="s">
        <v>184</v>
      </c>
      <c r="C33" s="48" t="s">
        <v>131</v>
      </c>
      <c r="D33" s="50">
        <v>-2.9103830456733704E-11</v>
      </c>
      <c r="E33" s="50">
        <v>-0.14</v>
      </c>
      <c r="F33" s="48">
        <v>0</v>
      </c>
      <c r="G33" s="48">
        <v>152442.42424242423</v>
      </c>
      <c r="H33" s="48">
        <v>1E+30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="90" zoomScaleNormal="90" zoomScalePageLayoutView="0" workbookViewId="0" topLeftCell="A1">
      <selection activeCell="K29" sqref="K29"/>
    </sheetView>
  </sheetViews>
  <sheetFormatPr defaultColWidth="9.00390625" defaultRowHeight="12.75"/>
  <cols>
    <col min="1" max="1" width="5.25390625" style="0" customWidth="1"/>
    <col min="2" max="2" width="11.75390625" style="0" customWidth="1"/>
    <col min="7" max="7" width="10.25390625" style="0" customWidth="1"/>
    <col min="18" max="18" width="2.875" style="0" customWidth="1"/>
    <col min="20" max="20" width="5.25390625" style="0" customWidth="1"/>
  </cols>
  <sheetData>
    <row r="1" spans="1:2" ht="12.75">
      <c r="A1" s="52" t="s">
        <v>132</v>
      </c>
      <c r="B1">
        <f>SUMPRODUCT(C7:Q7,C10:Q10)</f>
        <v>39008.41741840468</v>
      </c>
    </row>
    <row r="5" spans="3:17" ht="45">
      <c r="C5" s="25" t="s">
        <v>81</v>
      </c>
      <c r="D5" s="25" t="s">
        <v>82</v>
      </c>
      <c r="E5" s="25" t="s">
        <v>84</v>
      </c>
      <c r="F5" s="25" t="s">
        <v>86</v>
      </c>
      <c r="G5" s="25" t="s">
        <v>88</v>
      </c>
      <c r="H5" s="25" t="s">
        <v>89</v>
      </c>
      <c r="I5" s="25" t="s">
        <v>87</v>
      </c>
      <c r="J5" s="4" t="s">
        <v>90</v>
      </c>
      <c r="K5" s="4" t="s">
        <v>91</v>
      </c>
      <c r="L5" s="25" t="s">
        <v>92</v>
      </c>
      <c r="M5" s="25" t="s">
        <v>93</v>
      </c>
      <c r="N5" s="25" t="s">
        <v>94</v>
      </c>
      <c r="O5" s="25" t="s">
        <v>95</v>
      </c>
      <c r="P5" s="25" t="s">
        <v>96</v>
      </c>
      <c r="Q5" s="25" t="s">
        <v>97</v>
      </c>
    </row>
    <row r="6" spans="3:17" ht="12.75">
      <c r="C6" s="6" t="s">
        <v>80</v>
      </c>
      <c r="D6" s="6" t="s">
        <v>83</v>
      </c>
      <c r="E6" s="6" t="s">
        <v>85</v>
      </c>
      <c r="F6" s="6" t="s">
        <v>98</v>
      </c>
      <c r="G6" s="6" t="s">
        <v>99</v>
      </c>
      <c r="H6" s="6" t="s">
        <v>100</v>
      </c>
      <c r="I6" s="6" t="s">
        <v>101</v>
      </c>
      <c r="J6" s="6" t="s">
        <v>102</v>
      </c>
      <c r="K6" s="6" t="s">
        <v>103</v>
      </c>
      <c r="L6" s="6" t="s">
        <v>104</v>
      </c>
      <c r="M6" s="6" t="s">
        <v>105</v>
      </c>
      <c r="N6" s="6" t="s">
        <v>106</v>
      </c>
      <c r="O6" s="6" t="s">
        <v>107</v>
      </c>
      <c r="P6" s="6" t="s">
        <v>108</v>
      </c>
      <c r="Q6" s="6" t="s">
        <v>109</v>
      </c>
    </row>
    <row r="7" spans="3:17" ht="12.75">
      <c r="C7" s="43">
        <v>10.839622641509433</v>
      </c>
      <c r="D7" s="43">
        <v>22.493710691823896</v>
      </c>
      <c r="E7" s="43">
        <v>0</v>
      </c>
      <c r="F7" s="43">
        <v>0</v>
      </c>
      <c r="G7" s="43">
        <v>24898.605414274134</v>
      </c>
      <c r="H7" s="43">
        <v>256.918238993724</v>
      </c>
      <c r="I7" s="43">
        <v>0</v>
      </c>
      <c r="J7" s="43">
        <v>0</v>
      </c>
      <c r="K7" s="43">
        <v>0</v>
      </c>
      <c r="L7" s="43">
        <v>20</v>
      </c>
      <c r="M7" s="43">
        <v>0</v>
      </c>
      <c r="N7" s="43">
        <v>0</v>
      </c>
      <c r="O7" s="43">
        <v>0</v>
      </c>
      <c r="P7" s="43">
        <v>0</v>
      </c>
      <c r="Q7" s="43">
        <v>152442.42424242425</v>
      </c>
    </row>
    <row r="8" spans="3:17" ht="12.75"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25.5" customHeight="1">
      <c r="A9" s="77" t="s">
        <v>113</v>
      </c>
      <c r="B9" s="77"/>
      <c r="C9" s="6" t="s">
        <v>114</v>
      </c>
      <c r="D9" s="6" t="s">
        <v>115</v>
      </c>
      <c r="E9" s="6" t="s">
        <v>116</v>
      </c>
      <c r="F9" s="6" t="s">
        <v>117</v>
      </c>
      <c r="G9" s="6" t="s">
        <v>118</v>
      </c>
      <c r="H9" s="6" t="s">
        <v>119</v>
      </c>
      <c r="I9" s="6" t="s">
        <v>120</v>
      </c>
      <c r="J9" s="6" t="s">
        <v>121</v>
      </c>
      <c r="K9" s="6" t="s">
        <v>122</v>
      </c>
      <c r="L9" s="6" t="s">
        <v>123</v>
      </c>
      <c r="M9" s="6" t="s">
        <v>124</v>
      </c>
      <c r="N9" s="6" t="s">
        <v>125</v>
      </c>
      <c r="O9" s="6" t="s">
        <v>126</v>
      </c>
      <c r="P9" s="6" t="s">
        <v>127</v>
      </c>
      <c r="Q9" s="6" t="s">
        <v>128</v>
      </c>
    </row>
    <row r="10" spans="3:17" ht="12.75">
      <c r="C10" s="57">
        <f>-'1η  αμειψισπορα'!E17</f>
        <v>-487.660719002201</v>
      </c>
      <c r="D10" s="57">
        <f>-'2η αμειψισπορα'!E18</f>
        <v>-470.29303008070434</v>
      </c>
      <c r="E10" s="68">
        <f>-'3η αμειψισπορά'!E21</f>
        <v>-566.7801907556859</v>
      </c>
      <c r="F10" s="64">
        <f>-Απαιτήσεις!E15</f>
        <v>-0.18</v>
      </c>
      <c r="G10" s="65">
        <f>-Απαιτήσεις!E27</f>
        <v>-0.03</v>
      </c>
      <c r="H10" s="66">
        <f>-Απαιτήσεις!E16</f>
        <v>-0.18</v>
      </c>
      <c r="I10" s="57">
        <f>-Απαιτήσεις!E23</f>
        <v>-0.18</v>
      </c>
      <c r="J10" s="63">
        <f>'1ο σύστ.διατροφης'!C48</f>
        <v>1432.8832397099377</v>
      </c>
      <c r="K10" s="57">
        <f>'2ο σύστημα διατροφης'!C37</f>
        <v>1748.9</v>
      </c>
      <c r="L10" s="57">
        <f>'3ο σύστημα διατροφής'!C38</f>
        <v>1716.21875</v>
      </c>
      <c r="M10" s="57">
        <f>'4ο σύστημα διατροφής'!C38</f>
        <v>1450.0714761376248</v>
      </c>
      <c r="N10" s="57">
        <f>Απαιτήσεις!F15</f>
        <v>0.14</v>
      </c>
      <c r="O10" s="57">
        <f>Απαιτήσεις!F27</f>
        <v>0.02</v>
      </c>
      <c r="P10" s="57">
        <f>Απαιτήσεις!F16</f>
        <v>0.14</v>
      </c>
      <c r="Q10" s="57">
        <f>Απαιτήσεις!F23</f>
        <v>0.14</v>
      </c>
    </row>
    <row r="11" spans="3:17" ht="12.75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3:17" ht="12.75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3:17" ht="12.75"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3:17" ht="12.75">
      <c r="C14" s="20" t="s">
        <v>80</v>
      </c>
      <c r="D14" s="20" t="s">
        <v>83</v>
      </c>
      <c r="E14" s="20" t="s">
        <v>85</v>
      </c>
      <c r="F14" s="20" t="s">
        <v>98</v>
      </c>
      <c r="G14" s="20" t="s">
        <v>99</v>
      </c>
      <c r="H14" s="20" t="s">
        <v>100</v>
      </c>
      <c r="I14" s="20" t="s">
        <v>101</v>
      </c>
      <c r="J14" s="20" t="s">
        <v>102</v>
      </c>
      <c r="K14" s="20" t="s">
        <v>103</v>
      </c>
      <c r="L14" s="20" t="s">
        <v>104</v>
      </c>
      <c r="M14" s="20" t="s">
        <v>105</v>
      </c>
      <c r="N14" s="20" t="s">
        <v>106</v>
      </c>
      <c r="O14" s="20" t="s">
        <v>107</v>
      </c>
      <c r="P14" s="20" t="s">
        <v>108</v>
      </c>
      <c r="Q14" s="20" t="s">
        <v>109</v>
      </c>
    </row>
    <row r="15" spans="1:20" ht="12.75">
      <c r="A15" s="76" t="s">
        <v>110</v>
      </c>
      <c r="B15" s="76"/>
      <c r="C15">
        <v>6</v>
      </c>
      <c r="D15">
        <v>6</v>
      </c>
      <c r="E15">
        <v>7</v>
      </c>
      <c r="R15" t="s">
        <v>130</v>
      </c>
      <c r="S15">
        <f aca="true" t="shared" si="0" ref="S15:S20">SUMPRODUCT(C15:Q15,$C$7:$Q$7)</f>
        <v>199.99999999999997</v>
      </c>
      <c r="T15">
        <v>200</v>
      </c>
    </row>
    <row r="16" spans="1:20" ht="12.75">
      <c r="A16" s="76" t="s">
        <v>111</v>
      </c>
      <c r="B16" s="76"/>
      <c r="J16">
        <v>1</v>
      </c>
      <c r="K16">
        <v>1</v>
      </c>
      <c r="L16">
        <v>1</v>
      </c>
      <c r="M16">
        <v>1</v>
      </c>
      <c r="R16" t="s">
        <v>130</v>
      </c>
      <c r="S16">
        <f t="shared" si="0"/>
        <v>20</v>
      </c>
      <c r="T16">
        <v>20</v>
      </c>
    </row>
    <row r="17" spans="1:20" ht="12.75">
      <c r="A17" s="76" t="s">
        <v>65</v>
      </c>
      <c r="B17" s="76"/>
      <c r="C17">
        <f>'1η  αμειψισπορα'!E8</f>
        <v>1100</v>
      </c>
      <c r="E17">
        <f>'3η αμειψισπορά'!E7</f>
        <v>1000</v>
      </c>
      <c r="F17">
        <v>1</v>
      </c>
      <c r="J17" s="8">
        <f>-'1ο σύστ.διατροφης'!C27</f>
        <v>-883.0558676335411</v>
      </c>
      <c r="K17" s="8">
        <f>-'2ο σύστημα διατροφης'!C20</f>
        <v>-1063.5</v>
      </c>
      <c r="L17" s="8">
        <f>-'3ο σύστημα διατροφής'!C20</f>
        <v>-596.1792452830189</v>
      </c>
      <c r="M17" s="8">
        <f>-'4ο σύστημα διατροφής'!C18</f>
        <v>-433.58490566037733</v>
      </c>
      <c r="N17">
        <v>-1</v>
      </c>
      <c r="R17" t="s">
        <v>131</v>
      </c>
      <c r="S17">
        <f t="shared" si="0"/>
        <v>0</v>
      </c>
      <c r="T17">
        <v>0</v>
      </c>
    </row>
    <row r="18" spans="1:20" ht="12.75">
      <c r="A18" s="76" t="s">
        <v>112</v>
      </c>
      <c r="B18" s="76"/>
      <c r="D18">
        <f>'2η αμειψισπορα'!E9</f>
        <v>6000</v>
      </c>
      <c r="E18">
        <f>'3η αμειψισπορά'!E9</f>
        <v>6000</v>
      </c>
      <c r="G18">
        <v>1</v>
      </c>
      <c r="K18" s="8">
        <f>-'2ο σύστημα διατροφης'!C19</f>
        <v>-4380</v>
      </c>
      <c r="L18" s="8">
        <f>-'3ο σύστημα διατροφής'!C19</f>
        <v>-7993.043478260869</v>
      </c>
      <c r="M18" s="8">
        <f>-'4ο σύστημα διατροφής'!C17</f>
        <v>-8659.130434782608</v>
      </c>
      <c r="O18">
        <v>-1</v>
      </c>
      <c r="R18" t="s">
        <v>131</v>
      </c>
      <c r="S18">
        <f t="shared" si="0"/>
        <v>1.4551915228366852E-10</v>
      </c>
      <c r="T18">
        <v>0</v>
      </c>
    </row>
    <row r="19" spans="1:20" ht="12.75">
      <c r="A19" s="76" t="s">
        <v>7</v>
      </c>
      <c r="B19" s="76"/>
      <c r="C19">
        <f>'1η  αμειψισπορα'!E9</f>
        <v>350</v>
      </c>
      <c r="D19">
        <f>'2η αμειψισπορα'!E10</f>
        <v>350</v>
      </c>
      <c r="E19">
        <f>'3η αμειψισπορά'!E10</f>
        <v>300</v>
      </c>
      <c r="H19">
        <v>1</v>
      </c>
      <c r="J19" s="8">
        <f>-'1ο σύστ.διατροφης'!C28</f>
        <v>-856.2965989173732</v>
      </c>
      <c r="K19" s="8">
        <f>-'2ο σύστημα διατροφης'!C21</f>
        <v>-1063.5</v>
      </c>
      <c r="L19" s="8">
        <f>-'3ο σύστημα διατροφής'!C21</f>
        <v>-596.1792452830189</v>
      </c>
      <c r="M19" s="8">
        <f>-'4ο σύστημα διατροφής'!C19</f>
        <v>-433.58490566037733</v>
      </c>
      <c r="P19">
        <v>-1</v>
      </c>
      <c r="R19" t="s">
        <v>131</v>
      </c>
      <c r="S19">
        <f t="shared" si="0"/>
        <v>1.0913936421275139E-11</v>
      </c>
      <c r="T19">
        <v>0</v>
      </c>
    </row>
    <row r="20" spans="1:20" ht="12.75">
      <c r="A20" s="76" t="s">
        <v>63</v>
      </c>
      <c r="B20" s="76"/>
      <c r="C20">
        <f>'1η  αμειψισπορα'!E7</f>
        <v>5200</v>
      </c>
      <c r="D20">
        <f>'2η αμειψισπορα'!E8</f>
        <v>5200</v>
      </c>
      <c r="E20">
        <f>'3η αμειψισπορά'!E8</f>
        <v>5200</v>
      </c>
      <c r="I20">
        <v>1</v>
      </c>
      <c r="J20">
        <f>-'1ο σύστ.διατροφης'!C25</f>
        <v>-2190</v>
      </c>
      <c r="K20" s="8">
        <f>-'2ο σύστημα διατροφης'!C17</f>
        <v>-1460</v>
      </c>
      <c r="L20" s="8">
        <f>-'3ο σύστημα διατροφής'!C18</f>
        <v>-1044.5454545454545</v>
      </c>
      <c r="Q20">
        <v>-1</v>
      </c>
      <c r="R20" t="s">
        <v>131</v>
      </c>
      <c r="S20">
        <f t="shared" si="0"/>
        <v>-2.9103830456733704E-11</v>
      </c>
      <c r="T20">
        <v>0</v>
      </c>
    </row>
  </sheetData>
  <sheetProtection/>
  <mergeCells count="7">
    <mergeCell ref="A19:B19"/>
    <mergeCell ref="A20:B20"/>
    <mergeCell ref="A9:B9"/>
    <mergeCell ref="A15:B15"/>
    <mergeCell ref="A16:B16"/>
    <mergeCell ref="A17:B17"/>
    <mergeCell ref="A18:B18"/>
  </mergeCells>
  <printOptions gridLines="1"/>
  <pageMargins left="0.17" right="0.17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8"/>
  <sheetViews>
    <sheetView zoomScalePageLayoutView="0" workbookViewId="0" topLeftCell="A4">
      <selection activeCell="C48" sqref="C48"/>
    </sheetView>
  </sheetViews>
  <sheetFormatPr defaultColWidth="9.00390625" defaultRowHeight="12.75"/>
  <cols>
    <col min="2" max="2" width="21.625" style="0" customWidth="1"/>
    <col min="4" max="4" width="11.75390625" style="0" customWidth="1"/>
    <col min="8" max="8" width="19.25390625" style="0" customWidth="1"/>
  </cols>
  <sheetData>
    <row r="2" spans="2:8" ht="12.75">
      <c r="B2" s="71" t="s">
        <v>59</v>
      </c>
      <c r="C2" s="71"/>
      <c r="D2" s="71"/>
      <c r="E2" s="71"/>
      <c r="F2" s="71"/>
      <c r="G2" s="71"/>
      <c r="H2" s="71"/>
    </row>
    <row r="4" spans="2:5" ht="12.75">
      <c r="B4" s="1"/>
      <c r="C4" s="73" t="s">
        <v>24</v>
      </c>
      <c r="D4" s="73"/>
      <c r="E4" s="73"/>
    </row>
    <row r="5" spans="2:5" ht="12.75">
      <c r="B5" s="1"/>
      <c r="C5" s="15" t="s">
        <v>23</v>
      </c>
      <c r="D5" s="15" t="s">
        <v>25</v>
      </c>
      <c r="E5" s="16" t="s">
        <v>33</v>
      </c>
    </row>
    <row r="6" spans="2:5" ht="12.75">
      <c r="B6" s="1" t="s">
        <v>26</v>
      </c>
      <c r="C6" s="1">
        <f>6*Απαιτήσεις!C23*365</f>
        <v>963.6</v>
      </c>
      <c r="D6" s="1">
        <f>6*365</f>
        <v>2190</v>
      </c>
      <c r="E6" s="27">
        <f>D6*Απαιτήσεις!D23</f>
        <v>192720</v>
      </c>
    </row>
    <row r="7" spans="2:5" ht="12.75">
      <c r="B7" s="1" t="s">
        <v>27</v>
      </c>
      <c r="C7" s="1">
        <f>4*Απαιτήσεις!C25*365</f>
        <v>248.20000000000002</v>
      </c>
      <c r="D7" s="1">
        <f>4*365</f>
        <v>1460</v>
      </c>
      <c r="E7" s="27">
        <f>D7*Απαιτήσεις!D25</f>
        <v>4380</v>
      </c>
    </row>
    <row r="8" spans="2:5" ht="12.75">
      <c r="B8" s="1" t="s">
        <v>47</v>
      </c>
      <c r="C8" s="1">
        <v>2620</v>
      </c>
      <c r="D8" s="28">
        <f>C8/'1ο σύστ.διατροφης'!E19</f>
        <v>2675.9268716167912</v>
      </c>
      <c r="E8" s="27">
        <f>D8*'1ο σύστ.διατροφης'!G19</f>
        <v>360848.7386375243</v>
      </c>
    </row>
    <row r="9" spans="2:5" ht="12.75">
      <c r="B9" s="1"/>
      <c r="C9" s="1">
        <f>SUM(C6:C8)</f>
        <v>3831.8</v>
      </c>
      <c r="D9" s="1"/>
      <c r="E9" s="27">
        <f>SUM(E6:E8)</f>
        <v>557948.7386375243</v>
      </c>
    </row>
    <row r="13" spans="2:9" ht="12.75">
      <c r="B13" s="74" t="s">
        <v>31</v>
      </c>
      <c r="C13" s="74"/>
      <c r="D13" s="74"/>
      <c r="E13" s="74"/>
      <c r="F13" s="74"/>
      <c r="G13" s="74"/>
      <c r="H13" s="19"/>
      <c r="I13" s="19"/>
    </row>
    <row r="14" spans="2:9" ht="25.5">
      <c r="B14" s="15" t="s">
        <v>2</v>
      </c>
      <c r="C14" s="15" t="s">
        <v>3</v>
      </c>
      <c r="D14" s="14" t="s">
        <v>4</v>
      </c>
      <c r="E14" s="14" t="s">
        <v>5</v>
      </c>
      <c r="F14" s="2" t="s">
        <v>34</v>
      </c>
      <c r="G14" s="16" t="s">
        <v>35</v>
      </c>
      <c r="H14" s="18"/>
      <c r="I14" s="18"/>
    </row>
    <row r="15" spans="2:7" ht="12.75">
      <c r="B15" s="1" t="s">
        <v>6</v>
      </c>
      <c r="C15" s="1">
        <v>33</v>
      </c>
      <c r="D15" s="2">
        <v>1.12</v>
      </c>
      <c r="E15" s="11">
        <f>(C15*D15)/100</f>
        <v>0.3696</v>
      </c>
      <c r="F15" s="1">
        <v>76</v>
      </c>
      <c r="G15" s="11">
        <f>(F15*C15)/100</f>
        <v>25.08</v>
      </c>
    </row>
    <row r="16" spans="2:7" ht="12.75">
      <c r="B16" s="1" t="s">
        <v>7</v>
      </c>
      <c r="C16" s="1">
        <v>32</v>
      </c>
      <c r="D16" s="1">
        <v>1</v>
      </c>
      <c r="E16" s="11">
        <f>(C16*D16)/100</f>
        <v>0.32</v>
      </c>
      <c r="F16" s="1">
        <v>81</v>
      </c>
      <c r="G16" s="11">
        <f>(F16*C16)/100</f>
        <v>25.92</v>
      </c>
    </row>
    <row r="17" spans="2:7" ht="12.75">
      <c r="B17" s="1" t="s">
        <v>8</v>
      </c>
      <c r="C17" s="1">
        <v>20</v>
      </c>
      <c r="D17" s="1">
        <v>0.69</v>
      </c>
      <c r="E17" s="11">
        <f>(C17*D17)/100</f>
        <v>0.13799999999999998</v>
      </c>
      <c r="F17" s="1">
        <v>111</v>
      </c>
      <c r="G17" s="11">
        <f>(F17*C17)/100</f>
        <v>22.2</v>
      </c>
    </row>
    <row r="18" spans="2:7" ht="12.75">
      <c r="B18" s="1" t="s">
        <v>9</v>
      </c>
      <c r="C18" s="1">
        <v>15</v>
      </c>
      <c r="D18" s="1">
        <v>1.01</v>
      </c>
      <c r="E18" s="11">
        <f>(C18*D18)/100</f>
        <v>0.1515</v>
      </c>
      <c r="F18" s="1">
        <v>411</v>
      </c>
      <c r="G18" s="11">
        <f>(F18*C18)/100</f>
        <v>61.65</v>
      </c>
    </row>
    <row r="19" spans="2:7" ht="12.75">
      <c r="B19" s="3" t="s">
        <v>12</v>
      </c>
      <c r="C19" s="1">
        <f>SUM(C15:C18)</f>
        <v>100</v>
      </c>
      <c r="D19" s="1"/>
      <c r="E19" s="11">
        <f>SUM(E15:E18)</f>
        <v>0.9791</v>
      </c>
      <c r="F19" s="1"/>
      <c r="G19" s="11">
        <f>SUM(G15:G18)</f>
        <v>134.85</v>
      </c>
    </row>
    <row r="23" spans="2:3" ht="25.5" customHeight="1">
      <c r="B23" s="72" t="s">
        <v>62</v>
      </c>
      <c r="C23" s="72"/>
    </row>
    <row r="24" spans="2:3" ht="12.75">
      <c r="B24" s="5" t="s">
        <v>2</v>
      </c>
      <c r="C24" s="5" t="s">
        <v>25</v>
      </c>
    </row>
    <row r="25" spans="2:3" ht="12.75">
      <c r="B25" t="s">
        <v>63</v>
      </c>
      <c r="C25">
        <f>D6</f>
        <v>2190</v>
      </c>
    </row>
    <row r="26" spans="2:3" ht="12.75">
      <c r="B26" t="s">
        <v>64</v>
      </c>
      <c r="C26">
        <f>D7</f>
        <v>1460</v>
      </c>
    </row>
    <row r="27" spans="2:3" ht="12.75">
      <c r="B27" t="s">
        <v>65</v>
      </c>
      <c r="C27" s="8">
        <f>(C15*D8)/100</f>
        <v>883.0558676335411</v>
      </c>
    </row>
    <row r="28" spans="2:3" ht="12.75">
      <c r="B28" t="s">
        <v>7</v>
      </c>
      <c r="C28" s="8">
        <f>(C16*$D$8)/100</f>
        <v>856.2965989173732</v>
      </c>
    </row>
    <row r="29" spans="2:3" ht="12.75">
      <c r="B29" t="s">
        <v>8</v>
      </c>
      <c r="C29" s="8">
        <f>(C17*$D$8)/100</f>
        <v>535.1853743233582</v>
      </c>
    </row>
    <row r="30" spans="2:3" ht="12.75">
      <c r="B30" s="18" t="s">
        <v>9</v>
      </c>
      <c r="C30" s="8">
        <f>(C18*$D$8)/100</f>
        <v>401.3890307425187</v>
      </c>
    </row>
    <row r="34" spans="2:3" ht="12.75">
      <c r="B34" s="3" t="s">
        <v>71</v>
      </c>
      <c r="C34" s="36"/>
    </row>
    <row r="35" spans="2:3" ht="25.5">
      <c r="B35" s="37" t="s">
        <v>139</v>
      </c>
      <c r="C35" s="38">
        <v>0.3</v>
      </c>
    </row>
    <row r="36" spans="2:3" ht="25.5">
      <c r="B36" s="37" t="s">
        <v>140</v>
      </c>
      <c r="C36" s="39">
        <v>5200</v>
      </c>
    </row>
    <row r="37" spans="2:3" ht="12.75">
      <c r="B37" s="40" t="s">
        <v>141</v>
      </c>
      <c r="C37" s="41">
        <f>C36*C35</f>
        <v>1560</v>
      </c>
    </row>
    <row r="38" spans="2:3" ht="12.75">
      <c r="B38" s="37" t="s">
        <v>142</v>
      </c>
      <c r="C38" s="41">
        <v>240</v>
      </c>
    </row>
    <row r="39" spans="2:3" ht="12.75">
      <c r="B39" s="37" t="s">
        <v>143</v>
      </c>
      <c r="C39" s="42">
        <f>C37+C38</f>
        <v>1800</v>
      </c>
    </row>
    <row r="40" spans="2:3" ht="12.75">
      <c r="B40" s="35"/>
      <c r="C40" s="24"/>
    </row>
    <row r="41" spans="2:5" ht="12.75">
      <c r="B41" s="71" t="s">
        <v>72</v>
      </c>
      <c r="C41" s="71"/>
      <c r="D41" s="71"/>
      <c r="E41" s="71"/>
    </row>
    <row r="42" spans="2:5" ht="27.75" customHeight="1">
      <c r="B42" s="3"/>
      <c r="C42" s="2" t="s">
        <v>25</v>
      </c>
      <c r="D42" s="2" t="s">
        <v>138</v>
      </c>
      <c r="E42" s="1"/>
    </row>
    <row r="43" spans="2:5" ht="12.75">
      <c r="B43" s="1" t="s">
        <v>64</v>
      </c>
      <c r="C43" s="1">
        <f>C26</f>
        <v>1460</v>
      </c>
      <c r="D43" s="1">
        <f>Απαιτήσεις!E25</f>
        <v>0.07</v>
      </c>
      <c r="E43" s="28">
        <f>C43*D43</f>
        <v>102.2</v>
      </c>
    </row>
    <row r="44" spans="2:5" ht="12.75">
      <c r="B44" s="1" t="s">
        <v>8</v>
      </c>
      <c r="C44" s="28">
        <f>C29</f>
        <v>535.1853743233582</v>
      </c>
      <c r="D44" s="1">
        <f>Απαιτήσεις!E17</f>
        <v>0.21</v>
      </c>
      <c r="E44" s="28">
        <f>C44*D44</f>
        <v>112.38892860790523</v>
      </c>
    </row>
    <row r="45" spans="2:5" ht="12.75">
      <c r="B45" s="1" t="s">
        <v>9</v>
      </c>
      <c r="C45" s="28">
        <f>C30</f>
        <v>401.3890307425187</v>
      </c>
      <c r="D45" s="1">
        <f>Απαιτήσεις!E19</f>
        <v>0.38</v>
      </c>
      <c r="E45" s="28">
        <f>C45*D45</f>
        <v>152.5278316821571</v>
      </c>
    </row>
    <row r="46" spans="2:5" ht="12.75">
      <c r="B46" s="3" t="s">
        <v>75</v>
      </c>
      <c r="C46" s="1"/>
      <c r="D46" s="1"/>
      <c r="E46" s="44">
        <f>SUM(E43:E45)</f>
        <v>367.11676029006236</v>
      </c>
    </row>
    <row r="48" spans="2:5" ht="25.5">
      <c r="B48" s="45" t="s">
        <v>74</v>
      </c>
      <c r="C48" s="44">
        <f>C39-E46</f>
        <v>1432.8832397099377</v>
      </c>
      <c r="E48" s="23"/>
    </row>
  </sheetData>
  <sheetProtection/>
  <mergeCells count="5">
    <mergeCell ref="B41:E41"/>
    <mergeCell ref="B23:C23"/>
    <mergeCell ref="C4:E4"/>
    <mergeCell ref="B2:H2"/>
    <mergeCell ref="B13:G13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J37"/>
  <sheetViews>
    <sheetView zoomScalePageLayoutView="0" workbookViewId="0" topLeftCell="A25">
      <selection activeCell="E23" sqref="E23"/>
    </sheetView>
  </sheetViews>
  <sheetFormatPr defaultColWidth="9.00390625" defaultRowHeight="12.75"/>
  <cols>
    <col min="2" max="2" width="32.375" style="0" customWidth="1"/>
    <col min="3" max="3" width="11.25390625" style="0" customWidth="1"/>
    <col min="7" max="7" width="32.25390625" style="0" customWidth="1"/>
  </cols>
  <sheetData>
    <row r="3" spans="2:5" ht="12.75">
      <c r="B3" s="71" t="s">
        <v>28</v>
      </c>
      <c r="C3" s="71"/>
      <c r="D3" s="71"/>
      <c r="E3" s="71"/>
    </row>
    <row r="4" spans="2:5" ht="12.75">
      <c r="B4" s="6"/>
      <c r="C4" s="6" t="s">
        <v>23</v>
      </c>
      <c r="D4" s="6" t="s">
        <v>25</v>
      </c>
      <c r="E4" s="17" t="s">
        <v>33</v>
      </c>
    </row>
    <row r="5" spans="2:10" ht="12.75">
      <c r="B5" t="s">
        <v>29</v>
      </c>
      <c r="C5">
        <f>4*365*Απαιτήσεις!C23</f>
        <v>642.4</v>
      </c>
      <c r="D5">
        <f>4*365</f>
        <v>1460</v>
      </c>
      <c r="E5">
        <f>D5*Απαιτήσεις!D23</f>
        <v>128480</v>
      </c>
      <c r="H5" s="8"/>
      <c r="I5" s="8"/>
      <c r="J5" s="8"/>
    </row>
    <row r="6" spans="2:10" ht="12.75">
      <c r="B6" t="s">
        <v>30</v>
      </c>
      <c r="C6">
        <f>2*365*Απαιτήσεις!C25</f>
        <v>124.10000000000001</v>
      </c>
      <c r="D6">
        <f>2*365</f>
        <v>730</v>
      </c>
      <c r="E6">
        <f>D6*Απαιτήσεις!D25</f>
        <v>2190</v>
      </c>
      <c r="H6" s="8"/>
      <c r="I6" s="8"/>
      <c r="J6" s="8"/>
    </row>
    <row r="7" spans="2:10" ht="12.75">
      <c r="B7" t="s">
        <v>32</v>
      </c>
      <c r="C7">
        <f>12*Απαιτήσεις!C27*365</f>
        <v>1007.4000000000001</v>
      </c>
      <c r="D7">
        <f>12*365</f>
        <v>4380</v>
      </c>
      <c r="E7">
        <f>D7*Απαιτήσεις!D27</f>
        <v>61320</v>
      </c>
      <c r="H7" s="8"/>
      <c r="I7" s="8"/>
      <c r="J7" s="8"/>
    </row>
    <row r="8" spans="2:10" ht="12.75">
      <c r="B8" t="s">
        <v>52</v>
      </c>
      <c r="C8" s="13">
        <f>D8*'1ο σύστ.διατροφης'!E19</f>
        <v>2082.5457</v>
      </c>
      <c r="D8" s="8">
        <v>2127</v>
      </c>
      <c r="E8">
        <f>D8*'1ο σύστ.διατροφης'!G19</f>
        <v>286825.95</v>
      </c>
      <c r="H8" s="8"/>
      <c r="I8" s="8"/>
      <c r="J8" s="8"/>
    </row>
    <row r="9" spans="3:10" ht="12.75">
      <c r="C9" s="13">
        <f>SUM(C5:C8)</f>
        <v>3856.4457</v>
      </c>
      <c r="E9">
        <f>SUM(E5:E8)</f>
        <v>478815.95</v>
      </c>
      <c r="H9" s="8"/>
      <c r="I9" s="8"/>
      <c r="J9" s="8"/>
    </row>
    <row r="15" spans="2:3" ht="12.75">
      <c r="B15" s="72" t="s">
        <v>62</v>
      </c>
      <c r="C15" s="72"/>
    </row>
    <row r="16" spans="2:3" ht="12.75">
      <c r="B16" s="5" t="s">
        <v>2</v>
      </c>
      <c r="C16" s="5" t="s">
        <v>25</v>
      </c>
    </row>
    <row r="17" spans="2:3" ht="12.75">
      <c r="B17" t="s">
        <v>63</v>
      </c>
      <c r="C17" s="8">
        <f>D5</f>
        <v>1460</v>
      </c>
    </row>
    <row r="18" spans="2:3" ht="12.75">
      <c r="B18" t="s">
        <v>64</v>
      </c>
      <c r="C18" s="8">
        <f>D6</f>
        <v>730</v>
      </c>
    </row>
    <row r="19" spans="2:3" ht="12.75">
      <c r="B19" t="s">
        <v>37</v>
      </c>
      <c r="C19" s="8">
        <f>D7</f>
        <v>4380</v>
      </c>
    </row>
    <row r="20" spans="2:3" ht="12.75">
      <c r="B20" t="s">
        <v>65</v>
      </c>
      <c r="C20" s="8">
        <f>D8/2</f>
        <v>1063.5</v>
      </c>
    </row>
    <row r="21" spans="2:3" ht="12.75">
      <c r="B21" t="s">
        <v>7</v>
      </c>
      <c r="C21" s="8">
        <f>D8/2</f>
        <v>1063.5</v>
      </c>
    </row>
    <row r="24" spans="2:3" ht="12.75">
      <c r="B24" s="3" t="s">
        <v>71</v>
      </c>
      <c r="C24" s="36"/>
    </row>
    <row r="25" spans="2:3" ht="12.75">
      <c r="B25" s="37" t="s">
        <v>139</v>
      </c>
      <c r="C25" s="38">
        <v>0.3</v>
      </c>
    </row>
    <row r="26" spans="2:3" ht="12.75">
      <c r="B26" s="37" t="s">
        <v>140</v>
      </c>
      <c r="C26" s="39">
        <v>5200</v>
      </c>
    </row>
    <row r="27" spans="2:3" ht="12.75">
      <c r="B27" s="40" t="s">
        <v>141</v>
      </c>
      <c r="C27" s="41">
        <f>C26*C25</f>
        <v>1560</v>
      </c>
    </row>
    <row r="28" spans="2:3" ht="12.75">
      <c r="B28" s="37" t="s">
        <v>142</v>
      </c>
      <c r="C28" s="41">
        <v>240</v>
      </c>
    </row>
    <row r="29" spans="2:3" ht="12.75">
      <c r="B29" s="37" t="s">
        <v>143</v>
      </c>
      <c r="C29" s="42">
        <f>C27+C28</f>
        <v>1800</v>
      </c>
    </row>
    <row r="30" spans="2:3" ht="12.75">
      <c r="B30" s="46"/>
      <c r="C30" s="47"/>
    </row>
    <row r="31" spans="2:3" ht="12.75">
      <c r="B31" s="46"/>
      <c r="C31" s="47"/>
    </row>
    <row r="32" spans="2:5" ht="12.75">
      <c r="B32" s="71" t="s">
        <v>72</v>
      </c>
      <c r="C32" s="71"/>
      <c r="D32" s="71"/>
      <c r="E32" s="71"/>
    </row>
    <row r="33" spans="2:5" ht="38.25">
      <c r="B33" s="3"/>
      <c r="C33" s="2" t="s">
        <v>25</v>
      </c>
      <c r="D33" s="2" t="s">
        <v>138</v>
      </c>
      <c r="E33" s="1"/>
    </row>
    <row r="34" spans="2:5" ht="12.75">
      <c r="B34" s="1" t="s">
        <v>64</v>
      </c>
      <c r="C34" s="22">
        <f>C18</f>
        <v>730</v>
      </c>
      <c r="D34" s="1">
        <f>Απαιτήσεις!E25</f>
        <v>0.07</v>
      </c>
      <c r="E34" s="1">
        <f>C34*D34</f>
        <v>51.1</v>
      </c>
    </row>
    <row r="35" spans="2:5" ht="12.75">
      <c r="B35" s="3" t="s">
        <v>75</v>
      </c>
      <c r="C35" s="36"/>
      <c r="D35" s="1"/>
      <c r="E35" s="3">
        <f>E34</f>
        <v>51.1</v>
      </c>
    </row>
    <row r="37" spans="2:3" ht="12.75">
      <c r="B37" s="45" t="s">
        <v>74</v>
      </c>
      <c r="C37" s="31">
        <f>C29-E35</f>
        <v>1748.9</v>
      </c>
    </row>
  </sheetData>
  <sheetProtection/>
  <mergeCells count="3">
    <mergeCell ref="B3:E3"/>
    <mergeCell ref="B15:C15"/>
    <mergeCell ref="B32:E32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J38"/>
  <sheetViews>
    <sheetView zoomScalePageLayoutView="0" workbookViewId="0" topLeftCell="A1">
      <selection activeCell="H5" sqref="H5"/>
    </sheetView>
  </sheetViews>
  <sheetFormatPr defaultColWidth="9.00390625" defaultRowHeight="12.75"/>
  <cols>
    <col min="2" max="2" width="35.375" style="0" customWidth="1"/>
    <col min="3" max="3" width="10.875" style="0" customWidth="1"/>
    <col min="7" max="7" width="33.625" style="0" customWidth="1"/>
  </cols>
  <sheetData>
    <row r="3" spans="2:5" ht="12.75">
      <c r="B3" s="71" t="s">
        <v>60</v>
      </c>
      <c r="C3" s="71"/>
      <c r="D3" s="71"/>
      <c r="E3" s="71"/>
    </row>
    <row r="4" spans="3:10" ht="12.75">
      <c r="C4" s="6" t="s">
        <v>23</v>
      </c>
      <c r="D4" s="6" t="s">
        <v>25</v>
      </c>
      <c r="E4" s="6" t="s">
        <v>33</v>
      </c>
      <c r="G4" s="18"/>
      <c r="H4" s="29" t="s">
        <v>25</v>
      </c>
      <c r="I4" s="29" t="s">
        <v>23</v>
      </c>
      <c r="J4" s="29" t="s">
        <v>33</v>
      </c>
    </row>
    <row r="5" spans="2:10" ht="12.75">
      <c r="B5" t="s">
        <v>48</v>
      </c>
      <c r="C5">
        <f>0.12*Απαιτήσεις!$C$9</f>
        <v>459.59999999999997</v>
      </c>
      <c r="D5" s="8">
        <f>C5/Απαιτήσεις!C23</f>
        <v>1044.5454545454545</v>
      </c>
      <c r="E5" s="12">
        <f>D5*Απαιτήσεις!D23</f>
        <v>91920</v>
      </c>
      <c r="G5" s="1" t="s">
        <v>48</v>
      </c>
      <c r="H5" s="28">
        <v>1044.5454545454545</v>
      </c>
      <c r="I5" s="28">
        <v>459.6</v>
      </c>
      <c r="J5" s="28">
        <v>91920</v>
      </c>
    </row>
    <row r="6" spans="2:10" ht="12.75">
      <c r="B6" t="s">
        <v>49</v>
      </c>
      <c r="C6">
        <f>0.48*Απαιτήσεις!$C$9</f>
        <v>1838.3999999999999</v>
      </c>
      <c r="D6" s="8">
        <f>C6/Απαιτήσεις!C27</f>
        <v>7993.043478260869</v>
      </c>
      <c r="E6" s="12">
        <f>D6*Απαιτήσεις!D27</f>
        <v>111902.60869565216</v>
      </c>
      <c r="G6" s="1" t="s">
        <v>49</v>
      </c>
      <c r="H6" s="28">
        <v>7993.043478260869</v>
      </c>
      <c r="I6" s="28">
        <v>1838.4</v>
      </c>
      <c r="J6" s="28">
        <v>111902.60869565216</v>
      </c>
    </row>
    <row r="7" spans="2:10" ht="12.75">
      <c r="B7" t="s">
        <v>50</v>
      </c>
      <c r="C7">
        <f>0.33*Απαιτήσεις!$C$9</f>
        <v>1263.9</v>
      </c>
      <c r="D7" s="8">
        <f>C7/((Απαιτήσεις!C15+Απαιτήσεις!C16)/2)</f>
        <v>1192.3584905660377</v>
      </c>
      <c r="E7" s="12">
        <f>D7*((Απαιτήσεις!D15+Απαιτήσεις!D16)/2)</f>
        <v>93600.14150943396</v>
      </c>
      <c r="G7" s="1" t="s">
        <v>50</v>
      </c>
      <c r="H7" s="28">
        <v>1192.3584905660377</v>
      </c>
      <c r="I7" s="28">
        <v>1263.9</v>
      </c>
      <c r="J7" s="28">
        <v>93600.14150943396</v>
      </c>
    </row>
    <row r="8" spans="2:10" ht="12.75">
      <c r="B8" t="s">
        <v>51</v>
      </c>
      <c r="C8">
        <f>0.07*Απαιτήσεις!$C$9</f>
        <v>268.1</v>
      </c>
      <c r="D8" s="8">
        <f>C8/Απαιτήσεις!C18</f>
        <v>558.5416666666667</v>
      </c>
      <c r="E8" s="12">
        <f>D8*Απαιτήσεις!D18</f>
        <v>105005.83333333334</v>
      </c>
      <c r="G8" s="1" t="s">
        <v>51</v>
      </c>
      <c r="H8" s="28">
        <v>558.5416666666667</v>
      </c>
      <c r="I8" s="28">
        <v>268.1</v>
      </c>
      <c r="J8" s="28">
        <v>105005.83333333334</v>
      </c>
    </row>
    <row r="9" spans="3:10" ht="12.75">
      <c r="C9">
        <f>SUM(C5:C8)</f>
        <v>3830</v>
      </c>
      <c r="E9" s="12">
        <f>SUM(E5:E8)</f>
        <v>402428.58353841945</v>
      </c>
      <c r="G9" s="1"/>
      <c r="H9" s="28"/>
      <c r="I9" s="28">
        <v>3830</v>
      </c>
      <c r="J9" s="28">
        <v>402428.58353841945</v>
      </c>
    </row>
    <row r="16" spans="2:3" ht="12.75">
      <c r="B16" s="75" t="s">
        <v>62</v>
      </c>
      <c r="C16" s="75"/>
    </row>
    <row r="17" spans="2:3" ht="12.75">
      <c r="B17" s="3" t="s">
        <v>2</v>
      </c>
      <c r="C17" s="3" t="s">
        <v>25</v>
      </c>
    </row>
    <row r="18" spans="2:3" ht="12.75">
      <c r="B18" s="1" t="s">
        <v>63</v>
      </c>
      <c r="C18" s="28">
        <f>D5</f>
        <v>1044.5454545454545</v>
      </c>
    </row>
    <row r="19" spans="2:3" ht="12.75">
      <c r="B19" s="1" t="s">
        <v>37</v>
      </c>
      <c r="C19" s="28">
        <f>D6</f>
        <v>7993.043478260869</v>
      </c>
    </row>
    <row r="20" spans="2:3" ht="12.75">
      <c r="B20" s="1" t="s">
        <v>65</v>
      </c>
      <c r="C20" s="28">
        <f>D7/2</f>
        <v>596.1792452830189</v>
      </c>
    </row>
    <row r="21" spans="2:3" ht="12.75">
      <c r="B21" s="1" t="s">
        <v>7</v>
      </c>
      <c r="C21" s="28">
        <f>D7/2</f>
        <v>596.1792452830189</v>
      </c>
    </row>
    <row r="22" spans="2:3" ht="12.75">
      <c r="B22" s="1" t="s">
        <v>13</v>
      </c>
      <c r="C22" s="28">
        <f>D8</f>
        <v>558.5416666666667</v>
      </c>
    </row>
    <row r="25" spans="2:3" ht="12.75">
      <c r="B25" s="3" t="s">
        <v>71</v>
      </c>
      <c r="C25" s="36"/>
    </row>
    <row r="26" spans="2:3" ht="12.75">
      <c r="B26" s="37" t="s">
        <v>139</v>
      </c>
      <c r="C26" s="38">
        <v>0.3</v>
      </c>
    </row>
    <row r="27" spans="2:3" ht="12.75">
      <c r="B27" s="37" t="s">
        <v>140</v>
      </c>
      <c r="C27" s="39">
        <v>5200</v>
      </c>
    </row>
    <row r="28" spans="2:3" ht="12.75">
      <c r="B28" s="40" t="s">
        <v>141</v>
      </c>
      <c r="C28" s="41">
        <f>C27*C26</f>
        <v>1560</v>
      </c>
    </row>
    <row r="29" spans="2:3" ht="12.75">
      <c r="B29" s="37" t="s">
        <v>142</v>
      </c>
      <c r="C29" s="41">
        <v>240</v>
      </c>
    </row>
    <row r="30" spans="2:3" ht="12.75">
      <c r="B30" s="37" t="s">
        <v>143</v>
      </c>
      <c r="C30" s="42">
        <f>C28+C29</f>
        <v>1800</v>
      </c>
    </row>
    <row r="31" spans="2:3" ht="12.75">
      <c r="B31" s="5"/>
      <c r="C31" s="24"/>
    </row>
    <row r="32" spans="2:3" ht="12.75">
      <c r="B32" s="5"/>
      <c r="C32" s="24"/>
    </row>
    <row r="33" spans="2:5" ht="12.75">
      <c r="B33" s="71" t="s">
        <v>72</v>
      </c>
      <c r="C33" s="71"/>
      <c r="D33" s="71"/>
      <c r="E33" s="71"/>
    </row>
    <row r="34" spans="2:5" ht="38.25">
      <c r="B34" s="3"/>
      <c r="C34" s="2" t="s">
        <v>25</v>
      </c>
      <c r="D34" s="2" t="s">
        <v>138</v>
      </c>
      <c r="E34" s="1"/>
    </row>
    <row r="35" spans="2:5" ht="12.75">
      <c r="B35" s="1" t="s">
        <v>76</v>
      </c>
      <c r="C35" s="28">
        <f>C22</f>
        <v>558.5416666666667</v>
      </c>
      <c r="D35" s="1">
        <f>Απαιτήσεις!E18</f>
        <v>0.15</v>
      </c>
      <c r="E35" s="28">
        <f>C35*D35</f>
        <v>83.78125000000001</v>
      </c>
    </row>
    <row r="36" spans="2:5" ht="12.75">
      <c r="B36" s="3" t="s">
        <v>75</v>
      </c>
      <c r="C36" s="36"/>
      <c r="D36" s="1"/>
      <c r="E36" s="44">
        <f>E35</f>
        <v>83.78125000000001</v>
      </c>
    </row>
    <row r="38" spans="2:3" ht="12.75">
      <c r="B38" s="21" t="s">
        <v>74</v>
      </c>
      <c r="C38" s="23">
        <f>C30-E36</f>
        <v>1716.21875</v>
      </c>
    </row>
  </sheetData>
  <sheetProtection/>
  <mergeCells count="3">
    <mergeCell ref="B3:E3"/>
    <mergeCell ref="B16:C16"/>
    <mergeCell ref="B33:E3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E38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36.125" style="0" customWidth="1"/>
    <col min="3" max="3" width="11.375" style="0" customWidth="1"/>
    <col min="8" max="8" width="34.625" style="0" customWidth="1"/>
  </cols>
  <sheetData>
    <row r="3" spans="2:5" ht="12.75">
      <c r="B3" s="71" t="s">
        <v>61</v>
      </c>
      <c r="C3" s="71"/>
      <c r="D3" s="71"/>
      <c r="E3" s="71"/>
    </row>
    <row r="4" spans="3:5" ht="12.75">
      <c r="C4" s="6" t="s">
        <v>23</v>
      </c>
      <c r="D4" s="6" t="s">
        <v>25</v>
      </c>
      <c r="E4" s="6" t="s">
        <v>33</v>
      </c>
    </row>
    <row r="5" spans="2:5" ht="12.75">
      <c r="B5" t="s">
        <v>38</v>
      </c>
      <c r="C5" s="13">
        <f>Απαιτήσεις!C9*0.1</f>
        <v>383</v>
      </c>
      <c r="D5" s="13">
        <f>C5/Απαιτήσεις!C25</f>
        <v>2252.9411764705883</v>
      </c>
      <c r="E5" s="13">
        <f>D5*Απαιτήσεις!D25</f>
        <v>6758.823529411765</v>
      </c>
    </row>
    <row r="6" spans="2:5" ht="12.75">
      <c r="B6" t="s">
        <v>53</v>
      </c>
      <c r="C6" s="13">
        <f>0.52*Απαιτήσεις!C9</f>
        <v>1991.6000000000001</v>
      </c>
      <c r="D6" s="13">
        <f>C6/Απαιτήσεις!C27</f>
        <v>8659.130434782608</v>
      </c>
      <c r="E6" s="13">
        <f>D6*Απαιτήσεις!D27</f>
        <v>121227.82608695651</v>
      </c>
    </row>
    <row r="7" spans="2:5" ht="12.75">
      <c r="B7" t="s">
        <v>39</v>
      </c>
      <c r="C7" s="13">
        <f>Απαιτήσεις!C9*0.24</f>
        <v>919.1999999999999</v>
      </c>
      <c r="D7" s="13">
        <f>C7/((Απαιτήσεις!C15+Απαιτήσεις!C16)/2)</f>
        <v>867.1698113207547</v>
      </c>
      <c r="E7" s="13">
        <f>D7*((Απαιτήσεις!D15+Απαιτήσεις!D16)/2)</f>
        <v>68072.83018867925</v>
      </c>
    </row>
    <row r="8" spans="2:5" ht="12.75">
      <c r="B8" t="s">
        <v>40</v>
      </c>
      <c r="C8" s="13">
        <f>Απαιτήσεις!C9*0.14</f>
        <v>536.2</v>
      </c>
      <c r="D8" s="13">
        <f>C8/Απαιτήσεις!C19</f>
        <v>505.8490566037736</v>
      </c>
      <c r="E8" s="13">
        <f>D8*Απαιτήσεις!D19</f>
        <v>207903.96226415093</v>
      </c>
    </row>
    <row r="9" spans="3:5" ht="12.75">
      <c r="C9" s="13">
        <f>SUM(C5:C8)</f>
        <v>3830</v>
      </c>
      <c r="D9" s="13"/>
      <c r="E9" s="13">
        <f>SUM(E5:E8)</f>
        <v>403963.44206919847</v>
      </c>
    </row>
    <row r="14" spans="2:3" ht="12.75">
      <c r="B14" s="75" t="s">
        <v>62</v>
      </c>
      <c r="C14" s="75"/>
    </row>
    <row r="15" spans="2:3" ht="12.75">
      <c r="B15" s="3" t="s">
        <v>2</v>
      </c>
      <c r="C15" s="3" t="s">
        <v>25</v>
      </c>
    </row>
    <row r="16" spans="2:3" ht="12.75">
      <c r="B16" s="1" t="s">
        <v>64</v>
      </c>
      <c r="C16" s="28">
        <f>D5</f>
        <v>2252.9411764705883</v>
      </c>
    </row>
    <row r="17" spans="2:3" ht="12.75">
      <c r="B17" s="1" t="s">
        <v>37</v>
      </c>
      <c r="C17" s="28">
        <f>D6</f>
        <v>8659.130434782608</v>
      </c>
    </row>
    <row r="18" spans="2:3" ht="12.75">
      <c r="B18" s="1" t="s">
        <v>65</v>
      </c>
      <c r="C18" s="28">
        <f>D7/2</f>
        <v>433.58490566037733</v>
      </c>
    </row>
    <row r="19" spans="2:3" ht="12.75">
      <c r="B19" s="1" t="s">
        <v>7</v>
      </c>
      <c r="C19" s="28">
        <f>D7/2</f>
        <v>433.58490566037733</v>
      </c>
    </row>
    <row r="20" spans="2:3" ht="12.75">
      <c r="B20" s="1" t="s">
        <v>9</v>
      </c>
      <c r="C20" s="28">
        <f>D8</f>
        <v>505.8490566037736</v>
      </c>
    </row>
    <row r="23" spans="2:3" ht="12.75">
      <c r="B23" s="5"/>
      <c r="C23" s="24"/>
    </row>
    <row r="24" spans="2:3" ht="12.75">
      <c r="B24" s="5"/>
      <c r="C24" s="24"/>
    </row>
    <row r="25" spans="2:3" ht="12.75">
      <c r="B25" s="3" t="s">
        <v>71</v>
      </c>
      <c r="C25" s="36"/>
    </row>
    <row r="26" spans="2:3" ht="12.75">
      <c r="B26" s="37" t="s">
        <v>139</v>
      </c>
      <c r="C26" s="38">
        <v>0.3</v>
      </c>
    </row>
    <row r="27" spans="2:3" ht="12.75">
      <c r="B27" s="37" t="s">
        <v>140</v>
      </c>
      <c r="C27" s="39">
        <v>5200</v>
      </c>
    </row>
    <row r="28" spans="2:3" ht="12.75">
      <c r="B28" s="40" t="s">
        <v>141</v>
      </c>
      <c r="C28" s="41">
        <f>C27*C26</f>
        <v>1560</v>
      </c>
    </row>
    <row r="29" spans="2:3" ht="12.75">
      <c r="B29" s="37" t="s">
        <v>142</v>
      </c>
      <c r="C29" s="41">
        <v>240</v>
      </c>
    </row>
    <row r="30" spans="2:3" ht="12.75">
      <c r="B30" s="37" t="s">
        <v>143</v>
      </c>
      <c r="C30" s="42">
        <f>C28+C29</f>
        <v>1800</v>
      </c>
    </row>
    <row r="31" spans="2:3" ht="12.75">
      <c r="B31" s="5"/>
      <c r="C31" s="24"/>
    </row>
    <row r="32" spans="2:5" ht="12.75">
      <c r="B32" s="71" t="s">
        <v>72</v>
      </c>
      <c r="C32" s="71"/>
      <c r="D32" s="71"/>
      <c r="E32" s="71"/>
    </row>
    <row r="33" spans="2:5" ht="38.25">
      <c r="B33" s="3"/>
      <c r="C33" s="2" t="s">
        <v>25</v>
      </c>
      <c r="D33" s="2" t="s">
        <v>138</v>
      </c>
      <c r="E33" s="1"/>
    </row>
    <row r="34" spans="2:5" ht="12.75">
      <c r="B34" s="1" t="s">
        <v>77</v>
      </c>
      <c r="C34" s="22">
        <f>C16</f>
        <v>2252.9411764705883</v>
      </c>
      <c r="D34" s="1">
        <f>Απαιτήσεις!E25</f>
        <v>0.07</v>
      </c>
      <c r="E34" s="28">
        <f>C34*D34</f>
        <v>157.7058823529412</v>
      </c>
    </row>
    <row r="35" spans="2:5" ht="12.75">
      <c r="B35" s="1" t="s">
        <v>9</v>
      </c>
      <c r="C35" s="22">
        <f>C20</f>
        <v>505.8490566037736</v>
      </c>
      <c r="D35" s="1">
        <f>Απαιτήσεις!E19</f>
        <v>0.38</v>
      </c>
      <c r="E35" s="28">
        <f>C35*D35</f>
        <v>192.22264150943397</v>
      </c>
    </row>
    <row r="36" spans="2:5" ht="12.75">
      <c r="B36" s="3" t="s">
        <v>75</v>
      </c>
      <c r="C36" s="36"/>
      <c r="D36" s="1"/>
      <c r="E36" s="28">
        <f>SUM(E34:E35)</f>
        <v>349.9285238623752</v>
      </c>
    </row>
    <row r="38" spans="2:3" ht="12.75">
      <c r="B38" s="45" t="s">
        <v>74</v>
      </c>
      <c r="C38" s="31">
        <f>C30-E36</f>
        <v>1450.0714761376248</v>
      </c>
    </row>
  </sheetData>
  <sheetProtection/>
  <mergeCells count="3">
    <mergeCell ref="B3:E3"/>
    <mergeCell ref="B14:C14"/>
    <mergeCell ref="B32:E3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5:E17"/>
  <sheetViews>
    <sheetView zoomScalePageLayoutView="0" workbookViewId="0" topLeftCell="A1">
      <selection activeCell="E14" sqref="E14"/>
    </sheetView>
  </sheetViews>
  <sheetFormatPr defaultColWidth="9.00390625" defaultRowHeight="12.75"/>
  <cols>
    <col min="2" max="2" width="20.125" style="0" customWidth="1"/>
    <col min="3" max="3" width="9.00390625" style="0" customWidth="1"/>
    <col min="4" max="4" width="11.375" style="0" customWidth="1"/>
    <col min="5" max="5" width="12.125" style="0" customWidth="1"/>
  </cols>
  <sheetData>
    <row r="5" spans="2:5" ht="18" customHeight="1">
      <c r="B5" s="71" t="s">
        <v>43</v>
      </c>
      <c r="C5" s="71"/>
      <c r="D5" s="71"/>
      <c r="E5" s="71"/>
    </row>
    <row r="6" spans="2:5" ht="68.25" customHeight="1">
      <c r="B6" s="30" t="s">
        <v>134</v>
      </c>
      <c r="C6" s="26" t="s">
        <v>67</v>
      </c>
      <c r="D6" s="26" t="s">
        <v>135</v>
      </c>
      <c r="E6" s="26" t="s">
        <v>69</v>
      </c>
    </row>
    <row r="7" spans="2:5" ht="12.75">
      <c r="B7" s="1" t="s">
        <v>68</v>
      </c>
      <c r="C7" s="1">
        <v>4</v>
      </c>
      <c r="D7" s="1">
        <v>1300</v>
      </c>
      <c r="E7" s="1">
        <f>C7*D7</f>
        <v>5200</v>
      </c>
    </row>
    <row r="8" spans="2:5" ht="12.75">
      <c r="B8" s="1" t="s">
        <v>66</v>
      </c>
      <c r="C8" s="1">
        <v>1</v>
      </c>
      <c r="D8" s="1">
        <v>1100</v>
      </c>
      <c r="E8" s="1">
        <f>C8*D8</f>
        <v>1100</v>
      </c>
    </row>
    <row r="9" spans="2:5" ht="12.75">
      <c r="B9" s="1" t="s">
        <v>41</v>
      </c>
      <c r="C9" s="1">
        <v>1</v>
      </c>
      <c r="D9" s="1">
        <v>350</v>
      </c>
      <c r="E9" s="1">
        <f>C9*D9</f>
        <v>350</v>
      </c>
    </row>
    <row r="12" spans="3:5" ht="12.75">
      <c r="C12" s="73" t="s">
        <v>72</v>
      </c>
      <c r="D12" s="73"/>
      <c r="E12" s="73"/>
    </row>
    <row r="13" spans="2:5" ht="51">
      <c r="B13" s="32"/>
      <c r="C13" s="26" t="s">
        <v>67</v>
      </c>
      <c r="D13" s="26" t="s">
        <v>78</v>
      </c>
      <c r="E13" s="26" t="s">
        <v>136</v>
      </c>
    </row>
    <row r="14" spans="2:5" ht="12.75">
      <c r="B14" s="1" t="s">
        <v>63</v>
      </c>
      <c r="C14" s="1">
        <v>4</v>
      </c>
      <c r="D14" s="22">
        <v>90.53</v>
      </c>
      <c r="E14" s="22">
        <f>C14*D14</f>
        <v>362.12</v>
      </c>
    </row>
    <row r="15" spans="2:5" ht="12.75">
      <c r="B15" s="1" t="s">
        <v>65</v>
      </c>
      <c r="C15" s="1">
        <v>1</v>
      </c>
      <c r="D15" s="22">
        <f>32878/340.75</f>
        <v>96.48716067498165</v>
      </c>
      <c r="E15" s="22">
        <f>C15*D15</f>
        <v>96.48716067498165</v>
      </c>
    </row>
    <row r="16" spans="2:5" ht="12.75">
      <c r="B16" s="1" t="s">
        <v>7</v>
      </c>
      <c r="C16" s="1">
        <v>1</v>
      </c>
      <c r="D16" s="22">
        <f>9900/340.75</f>
        <v>29.05355832721937</v>
      </c>
      <c r="E16" s="22">
        <f>C16*D16</f>
        <v>29.05355832721937</v>
      </c>
    </row>
    <row r="17" spans="2:5" ht="12.75">
      <c r="B17" s="3" t="s">
        <v>12</v>
      </c>
      <c r="C17" s="1"/>
      <c r="D17" s="1"/>
      <c r="E17" s="31">
        <f>SUM(E14:E16)</f>
        <v>487.660719002201</v>
      </c>
    </row>
  </sheetData>
  <sheetProtection/>
  <mergeCells count="2">
    <mergeCell ref="B5:E5"/>
    <mergeCell ref="C12:E1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6:E18"/>
  <sheetViews>
    <sheetView zoomScalePageLayoutView="0" workbookViewId="0" topLeftCell="A6">
      <selection activeCell="D16" sqref="D16"/>
    </sheetView>
  </sheetViews>
  <sheetFormatPr defaultColWidth="9.00390625" defaultRowHeight="12.75"/>
  <cols>
    <col min="2" max="2" width="22.25390625" style="0" customWidth="1"/>
    <col min="3" max="3" width="13.25390625" style="0" customWidth="1"/>
    <col min="4" max="4" width="12.375" style="0" customWidth="1"/>
    <col min="5" max="5" width="12.875" style="0" customWidth="1"/>
  </cols>
  <sheetData>
    <row r="6" spans="2:5" ht="12.75">
      <c r="B6" s="71" t="s">
        <v>44</v>
      </c>
      <c r="C6" s="71"/>
      <c r="D6" s="71"/>
      <c r="E6" s="71"/>
    </row>
    <row r="7" spans="2:5" ht="59.25" customHeight="1">
      <c r="B7" s="30" t="s">
        <v>134</v>
      </c>
      <c r="C7" s="26" t="s">
        <v>67</v>
      </c>
      <c r="D7" s="26" t="s">
        <v>135</v>
      </c>
      <c r="E7" s="26" t="s">
        <v>69</v>
      </c>
    </row>
    <row r="8" spans="2:5" ht="12.75">
      <c r="B8" s="1" t="s">
        <v>70</v>
      </c>
      <c r="C8" s="1">
        <v>4</v>
      </c>
      <c r="D8" s="1">
        <v>1300</v>
      </c>
      <c r="E8" s="1">
        <f>C8*D8</f>
        <v>5200</v>
      </c>
    </row>
    <row r="9" spans="2:5" ht="12.75">
      <c r="B9" s="1" t="s">
        <v>37</v>
      </c>
      <c r="C9" s="1">
        <v>1</v>
      </c>
      <c r="D9" s="1">
        <v>6000</v>
      </c>
      <c r="E9" s="1">
        <f>C9*D9</f>
        <v>6000</v>
      </c>
    </row>
    <row r="10" spans="2:5" ht="12.75">
      <c r="B10" s="1" t="s">
        <v>7</v>
      </c>
      <c r="C10" s="1">
        <v>1</v>
      </c>
      <c r="D10" s="1">
        <v>350</v>
      </c>
      <c r="E10" s="1">
        <f>C10*D10</f>
        <v>350</v>
      </c>
    </row>
    <row r="13" spans="3:5" ht="12.75">
      <c r="C13" s="73" t="s">
        <v>72</v>
      </c>
      <c r="D13" s="73"/>
      <c r="E13" s="73"/>
    </row>
    <row r="14" spans="2:5" ht="38.25">
      <c r="B14" s="5"/>
      <c r="C14" s="26" t="s">
        <v>67</v>
      </c>
      <c r="D14" s="26" t="s">
        <v>78</v>
      </c>
      <c r="E14" s="26" t="s">
        <v>79</v>
      </c>
    </row>
    <row r="15" spans="2:5" ht="12.75">
      <c r="B15" s="1" t="s">
        <v>63</v>
      </c>
      <c r="C15" s="1">
        <v>4</v>
      </c>
      <c r="D15" s="22">
        <v>90.53</v>
      </c>
      <c r="E15" s="22">
        <f>C15*D15</f>
        <v>362.12</v>
      </c>
    </row>
    <row r="16" spans="2:5" ht="12.75">
      <c r="B16" s="1" t="s">
        <v>37</v>
      </c>
      <c r="C16" s="1">
        <v>1</v>
      </c>
      <c r="D16" s="22">
        <f>0.82*'1η  αμειψισπορα'!D15</f>
        <v>79.11947175348494</v>
      </c>
      <c r="E16" s="22">
        <f>C16*D16</f>
        <v>79.11947175348494</v>
      </c>
    </row>
    <row r="17" spans="2:5" ht="12.75">
      <c r="B17" s="1" t="s">
        <v>7</v>
      </c>
      <c r="C17" s="1">
        <v>1</v>
      </c>
      <c r="D17" s="22">
        <f>9900/340.75</f>
        <v>29.05355832721937</v>
      </c>
      <c r="E17" s="22">
        <f>C17*D17</f>
        <v>29.05355832721937</v>
      </c>
    </row>
    <row r="18" spans="2:5" ht="12.75">
      <c r="B18" s="3" t="s">
        <v>12</v>
      </c>
      <c r="C18" s="1"/>
      <c r="D18" s="1"/>
      <c r="E18" s="31">
        <f>SUM(E15:E17)</f>
        <v>470.29303008070434</v>
      </c>
    </row>
  </sheetData>
  <sheetProtection/>
  <mergeCells count="2">
    <mergeCell ref="B6:E6"/>
    <mergeCell ref="C13:E1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E21"/>
  <sheetViews>
    <sheetView zoomScalePageLayoutView="0" workbookViewId="0" topLeftCell="A1">
      <selection activeCell="D24" sqref="D24"/>
    </sheetView>
  </sheetViews>
  <sheetFormatPr defaultColWidth="9.00390625" defaultRowHeight="12.75"/>
  <cols>
    <col min="2" max="2" width="20.375" style="0" customWidth="1"/>
    <col min="3" max="3" width="9.25390625" style="0" customWidth="1"/>
    <col min="4" max="4" width="14.25390625" style="0" customWidth="1"/>
    <col min="5" max="5" width="13.25390625" style="0" customWidth="1"/>
  </cols>
  <sheetData>
    <row r="5" spans="2:5" ht="12.75">
      <c r="B5" s="71" t="s">
        <v>45</v>
      </c>
      <c r="C5" s="71"/>
      <c r="D5" s="71"/>
      <c r="E5" s="71"/>
    </row>
    <row r="6" spans="2:5" ht="54" customHeight="1">
      <c r="B6" s="30" t="s">
        <v>134</v>
      </c>
      <c r="C6" s="26" t="s">
        <v>67</v>
      </c>
      <c r="D6" s="26" t="s">
        <v>135</v>
      </c>
      <c r="E6" s="26" t="s">
        <v>69</v>
      </c>
    </row>
    <row r="7" spans="2:5" ht="12.75">
      <c r="B7" s="1" t="s">
        <v>66</v>
      </c>
      <c r="C7" s="1">
        <v>1</v>
      </c>
      <c r="D7" s="1">
        <v>1000</v>
      </c>
      <c r="E7" s="1">
        <f>C7*D7</f>
        <v>1000</v>
      </c>
    </row>
    <row r="8" spans="2:5" ht="12.75">
      <c r="B8" s="1" t="s">
        <v>68</v>
      </c>
      <c r="C8" s="1">
        <v>4</v>
      </c>
      <c r="D8" s="1">
        <v>1300</v>
      </c>
      <c r="E8" s="1">
        <f>C8*D8</f>
        <v>5200</v>
      </c>
    </row>
    <row r="9" spans="2:5" ht="12.75">
      <c r="B9" s="1" t="s">
        <v>42</v>
      </c>
      <c r="C9" s="1">
        <v>1</v>
      </c>
      <c r="D9" s="1">
        <v>6000</v>
      </c>
      <c r="E9" s="1">
        <f>C9*D9</f>
        <v>6000</v>
      </c>
    </row>
    <row r="10" spans="2:5" ht="12.75">
      <c r="B10" s="1" t="s">
        <v>41</v>
      </c>
      <c r="C10" s="1">
        <v>1</v>
      </c>
      <c r="D10" s="1">
        <v>300</v>
      </c>
      <c r="E10" s="1">
        <f>C10*D10</f>
        <v>300</v>
      </c>
    </row>
    <row r="15" spans="2:5" ht="12.75">
      <c r="B15" s="18"/>
      <c r="C15" s="73" t="s">
        <v>72</v>
      </c>
      <c r="D15" s="73"/>
      <c r="E15" s="73"/>
    </row>
    <row r="16" spans="2:5" ht="38.25">
      <c r="B16" s="32"/>
      <c r="C16" s="26" t="s">
        <v>67</v>
      </c>
      <c r="D16" s="26" t="s">
        <v>137</v>
      </c>
      <c r="E16" s="26" t="s">
        <v>79</v>
      </c>
    </row>
    <row r="17" spans="2:5" ht="12.75">
      <c r="B17" s="1" t="s">
        <v>65</v>
      </c>
      <c r="C17" s="33">
        <v>1</v>
      </c>
      <c r="D17" s="34">
        <f>'1η  αμειψισπορα'!D15</f>
        <v>96.48716067498165</v>
      </c>
      <c r="E17" s="34">
        <f>C17*D17</f>
        <v>96.48716067498165</v>
      </c>
    </row>
    <row r="18" spans="2:5" ht="12.75">
      <c r="B18" s="1" t="s">
        <v>63</v>
      </c>
      <c r="C18" s="1">
        <v>4</v>
      </c>
      <c r="D18" s="22">
        <f>'2η αμειψισπορα'!D15</f>
        <v>90.53</v>
      </c>
      <c r="E18" s="22">
        <f>C18*D18</f>
        <v>362.12</v>
      </c>
    </row>
    <row r="19" spans="2:5" ht="12.75">
      <c r="B19" s="1" t="s">
        <v>37</v>
      </c>
      <c r="C19" s="1">
        <v>1</v>
      </c>
      <c r="D19" s="22">
        <f>'2η αμειψισπορα'!D16</f>
        <v>79.11947175348494</v>
      </c>
      <c r="E19" s="22">
        <f>C19*D19</f>
        <v>79.11947175348494</v>
      </c>
    </row>
    <row r="20" spans="2:5" ht="12.75">
      <c r="B20" s="1" t="s">
        <v>7</v>
      </c>
      <c r="C20" s="1">
        <v>1</v>
      </c>
      <c r="D20" s="22">
        <f>'2η αμειψισπορα'!D17</f>
        <v>29.05355832721937</v>
      </c>
      <c r="E20" s="22">
        <f>C20*D20</f>
        <v>29.05355832721937</v>
      </c>
    </row>
    <row r="21" spans="2:5" ht="12.75">
      <c r="B21" s="3" t="s">
        <v>12</v>
      </c>
      <c r="C21" s="1"/>
      <c r="D21" s="22"/>
      <c r="E21" s="31">
        <f>SUM(E17:E20)</f>
        <v>566.7801907556859</v>
      </c>
    </row>
  </sheetData>
  <sheetProtection/>
  <mergeCells count="2">
    <mergeCell ref="B5:E5"/>
    <mergeCell ref="C15:E1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7"/>
  <sheetViews>
    <sheetView showGridLines="0" zoomScalePageLayoutView="0" workbookViewId="0" topLeftCell="A10">
      <selection activeCell="A1" sqref="A1"/>
    </sheetView>
  </sheetViews>
  <sheetFormatPr defaultColWidth="9.00390625" defaultRowHeight="12.75"/>
  <cols>
    <col min="1" max="1" width="2.25390625" style="0" customWidth="1"/>
    <col min="2" max="2" width="6.25390625" style="0" bestFit="1" customWidth="1"/>
    <col min="3" max="3" width="7.00390625" style="0" customWidth="1"/>
    <col min="4" max="4" width="13.125" style="0" bestFit="1" customWidth="1"/>
    <col min="5" max="5" width="13.75390625" style="0" bestFit="1" customWidth="1"/>
    <col min="6" max="6" width="15.75390625" style="0" bestFit="1" customWidth="1"/>
    <col min="7" max="7" width="10.00390625" style="0" bestFit="1" customWidth="1"/>
  </cols>
  <sheetData>
    <row r="1" ht="12.75">
      <c r="A1" s="53" t="s">
        <v>198</v>
      </c>
    </row>
    <row r="2" ht="12.75">
      <c r="A2" s="53" t="s">
        <v>144</v>
      </c>
    </row>
    <row r="3" ht="12.75">
      <c r="A3" s="53" t="s">
        <v>200</v>
      </c>
    </row>
    <row r="6" ht="13.5" thickBot="1">
      <c r="A6" t="s">
        <v>145</v>
      </c>
    </row>
    <row r="7" spans="2:5" ht="13.5" thickBot="1">
      <c r="B7" s="54" t="s">
        <v>146</v>
      </c>
      <c r="C7" s="54" t="s">
        <v>147</v>
      </c>
      <c r="D7" s="54" t="s">
        <v>148</v>
      </c>
      <c r="E7" s="54" t="s">
        <v>149</v>
      </c>
    </row>
    <row r="8" spans="2:5" ht="13.5" thickBot="1">
      <c r="B8" s="48" t="s">
        <v>156</v>
      </c>
      <c r="C8" s="48" t="s">
        <v>132</v>
      </c>
      <c r="D8" s="50">
        <v>0</v>
      </c>
      <c r="E8" s="50">
        <v>39008.41741840468</v>
      </c>
    </row>
    <row r="11" ht="13.5" thickBot="1">
      <c r="A11" t="s">
        <v>150</v>
      </c>
    </row>
    <row r="12" spans="2:5" ht="13.5" thickBot="1">
      <c r="B12" s="54" t="s">
        <v>146</v>
      </c>
      <c r="C12" s="54" t="s">
        <v>147</v>
      </c>
      <c r="D12" s="54" t="s">
        <v>148</v>
      </c>
      <c r="E12" s="54" t="s">
        <v>149</v>
      </c>
    </row>
    <row r="13" spans="2:5" ht="12.75">
      <c r="B13" s="49" t="s">
        <v>157</v>
      </c>
      <c r="C13" s="49" t="s">
        <v>80</v>
      </c>
      <c r="D13" s="58">
        <v>0</v>
      </c>
      <c r="E13" s="58">
        <v>10.839622641509433</v>
      </c>
    </row>
    <row r="14" spans="2:5" ht="12.75">
      <c r="B14" s="49" t="s">
        <v>158</v>
      </c>
      <c r="C14" s="49" t="s">
        <v>83</v>
      </c>
      <c r="D14" s="58">
        <v>0</v>
      </c>
      <c r="E14" s="58">
        <v>22.493710691823896</v>
      </c>
    </row>
    <row r="15" spans="2:5" ht="12.75">
      <c r="B15" s="49" t="s">
        <v>159</v>
      </c>
      <c r="C15" s="49" t="s">
        <v>85</v>
      </c>
      <c r="D15" s="58">
        <v>0</v>
      </c>
      <c r="E15" s="58">
        <v>0</v>
      </c>
    </row>
    <row r="16" spans="2:5" ht="12.75">
      <c r="B16" s="49" t="s">
        <v>160</v>
      </c>
      <c r="C16" s="49" t="s">
        <v>98</v>
      </c>
      <c r="D16" s="58">
        <v>0</v>
      </c>
      <c r="E16" s="58">
        <v>0</v>
      </c>
    </row>
    <row r="17" spans="2:5" ht="12.75">
      <c r="B17" s="49" t="s">
        <v>161</v>
      </c>
      <c r="C17" s="49" t="s">
        <v>99</v>
      </c>
      <c r="D17" s="58">
        <v>0</v>
      </c>
      <c r="E17" s="58">
        <v>24898.605414274134</v>
      </c>
    </row>
    <row r="18" spans="2:5" ht="12.75">
      <c r="B18" s="49" t="s">
        <v>162</v>
      </c>
      <c r="C18" s="49" t="s">
        <v>100</v>
      </c>
      <c r="D18" s="58">
        <v>0</v>
      </c>
      <c r="E18" s="58">
        <v>256.918238993724</v>
      </c>
    </row>
    <row r="19" spans="2:5" ht="12.75">
      <c r="B19" s="49" t="s">
        <v>163</v>
      </c>
      <c r="C19" s="49" t="s">
        <v>101</v>
      </c>
      <c r="D19" s="58">
        <v>0</v>
      </c>
      <c r="E19" s="58">
        <v>0</v>
      </c>
    </row>
    <row r="20" spans="2:5" ht="12.75">
      <c r="B20" s="49" t="s">
        <v>164</v>
      </c>
      <c r="C20" s="49" t="s">
        <v>102</v>
      </c>
      <c r="D20" s="58">
        <v>0</v>
      </c>
      <c r="E20" s="58">
        <v>0</v>
      </c>
    </row>
    <row r="21" spans="2:5" ht="12.75">
      <c r="B21" s="49" t="s">
        <v>165</v>
      </c>
      <c r="C21" s="49" t="s">
        <v>103</v>
      </c>
      <c r="D21" s="58">
        <v>0</v>
      </c>
      <c r="E21" s="58">
        <v>0</v>
      </c>
    </row>
    <row r="22" spans="2:5" ht="12.75">
      <c r="B22" s="49" t="s">
        <v>166</v>
      </c>
      <c r="C22" s="49" t="s">
        <v>104</v>
      </c>
      <c r="D22" s="58">
        <v>0</v>
      </c>
      <c r="E22" s="58">
        <v>20</v>
      </c>
    </row>
    <row r="23" spans="2:5" ht="12.75">
      <c r="B23" s="49" t="s">
        <v>167</v>
      </c>
      <c r="C23" s="49" t="s">
        <v>105</v>
      </c>
      <c r="D23" s="58">
        <v>0</v>
      </c>
      <c r="E23" s="58">
        <v>0</v>
      </c>
    </row>
    <row r="24" spans="2:5" ht="12.75">
      <c r="B24" s="49" t="s">
        <v>168</v>
      </c>
      <c r="C24" s="49" t="s">
        <v>106</v>
      </c>
      <c r="D24" s="58">
        <v>0</v>
      </c>
      <c r="E24" s="58">
        <v>0</v>
      </c>
    </row>
    <row r="25" spans="2:5" ht="12.75">
      <c r="B25" s="49" t="s">
        <v>169</v>
      </c>
      <c r="C25" s="49" t="s">
        <v>107</v>
      </c>
      <c r="D25" s="58">
        <v>0</v>
      </c>
      <c r="E25" s="58">
        <v>0</v>
      </c>
    </row>
    <row r="26" spans="2:5" ht="12.75">
      <c r="B26" s="49" t="s">
        <v>170</v>
      </c>
      <c r="C26" s="49" t="s">
        <v>108</v>
      </c>
      <c r="D26" s="58">
        <v>0</v>
      </c>
      <c r="E26" s="58">
        <v>0</v>
      </c>
    </row>
    <row r="27" spans="2:5" ht="13.5" thickBot="1">
      <c r="B27" s="48" t="s">
        <v>171</v>
      </c>
      <c r="C27" s="48" t="s">
        <v>109</v>
      </c>
      <c r="D27" s="59">
        <v>0</v>
      </c>
      <c r="E27" s="59">
        <v>152442.42424242425</v>
      </c>
    </row>
    <row r="30" ht="13.5" thickBot="1">
      <c r="A30" t="s">
        <v>151</v>
      </c>
    </row>
    <row r="31" spans="2:7" ht="13.5" thickBot="1">
      <c r="B31" s="54" t="s">
        <v>146</v>
      </c>
      <c r="C31" s="54" t="s">
        <v>147</v>
      </c>
      <c r="D31" s="54" t="s">
        <v>152</v>
      </c>
      <c r="E31" s="54" t="s">
        <v>153</v>
      </c>
      <c r="F31" s="54" t="s">
        <v>154</v>
      </c>
      <c r="G31" s="54" t="s">
        <v>155</v>
      </c>
    </row>
    <row r="32" spans="2:7" ht="12.75">
      <c r="B32" s="49" t="s">
        <v>172</v>
      </c>
      <c r="C32" s="49" t="s">
        <v>130</v>
      </c>
      <c r="D32" s="51">
        <v>200</v>
      </c>
      <c r="E32" s="49" t="s">
        <v>173</v>
      </c>
      <c r="F32" s="49" t="s">
        <v>174</v>
      </c>
      <c r="G32" s="49">
        <v>0</v>
      </c>
    </row>
    <row r="33" spans="2:7" ht="12.75">
      <c r="B33" s="49" t="s">
        <v>175</v>
      </c>
      <c r="C33" s="49" t="s">
        <v>130</v>
      </c>
      <c r="D33" s="51">
        <v>20</v>
      </c>
      <c r="E33" s="49" t="s">
        <v>176</v>
      </c>
      <c r="F33" s="49" t="s">
        <v>174</v>
      </c>
      <c r="G33" s="49">
        <v>0</v>
      </c>
    </row>
    <row r="34" spans="2:7" ht="12.75">
      <c r="B34" s="49" t="s">
        <v>177</v>
      </c>
      <c r="C34" s="49" t="s">
        <v>131</v>
      </c>
      <c r="D34" s="51">
        <v>0</v>
      </c>
      <c r="E34" s="49" t="s">
        <v>178</v>
      </c>
      <c r="F34" s="49" t="s">
        <v>179</v>
      </c>
      <c r="G34" s="49">
        <v>0</v>
      </c>
    </row>
    <row r="35" spans="2:7" ht="12.75">
      <c r="B35" s="49" t="s">
        <v>180</v>
      </c>
      <c r="C35" s="49" t="s">
        <v>131</v>
      </c>
      <c r="D35" s="51">
        <v>1.4551915228366852E-10</v>
      </c>
      <c r="E35" s="49" t="s">
        <v>181</v>
      </c>
      <c r="F35" s="49" t="s">
        <v>179</v>
      </c>
      <c r="G35" s="49">
        <v>0</v>
      </c>
    </row>
    <row r="36" spans="2:7" ht="12.75">
      <c r="B36" s="49" t="s">
        <v>182</v>
      </c>
      <c r="C36" s="49" t="s">
        <v>131</v>
      </c>
      <c r="D36" s="51">
        <v>1.0913936421275139E-11</v>
      </c>
      <c r="E36" s="49" t="s">
        <v>183</v>
      </c>
      <c r="F36" s="49" t="s">
        <v>179</v>
      </c>
      <c r="G36" s="49">
        <v>0</v>
      </c>
    </row>
    <row r="37" spans="2:7" ht="13.5" thickBot="1">
      <c r="B37" s="48" t="s">
        <v>184</v>
      </c>
      <c r="C37" s="48" t="s">
        <v>131</v>
      </c>
      <c r="D37" s="50">
        <v>-2.9103830456733704E-11</v>
      </c>
      <c r="E37" s="48" t="s">
        <v>185</v>
      </c>
      <c r="F37" s="48" t="s">
        <v>179</v>
      </c>
      <c r="G37" s="48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</dc:creator>
  <cp:keywords/>
  <dc:description/>
  <cp:lastModifiedBy>Windows User</cp:lastModifiedBy>
  <cp:lastPrinted>2006-02-17T06:47:28Z</cp:lastPrinted>
  <dcterms:created xsi:type="dcterms:W3CDTF">2004-12-07T10:25:39Z</dcterms:created>
  <dcterms:modified xsi:type="dcterms:W3CDTF">2018-06-17T06:41:17Z</dcterms:modified>
  <cp:category/>
  <cp:version/>
  <cp:contentType/>
  <cp:contentStatus/>
</cp:coreProperties>
</file>