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35" windowHeight="10995" activeTab="1"/>
  </bookViews>
  <sheets>
    <sheet name="Αρχικοι υπολογισμοι" sheetId="2" r:id="rId1"/>
    <sheet name="Υποδειγμα" sheetId="1" r:id="rId2"/>
    <sheet name="Answer Report 1" sheetId="6" r:id="rId3"/>
    <sheet name="Sensitivity Report 1" sheetId="7" r:id="rId4"/>
    <sheet name="Τελική καταναλωση αγελαδων" sheetId="3" r:id="rId5"/>
  </sheets>
  <definedNames>
    <definedName name="solver_adj" localSheetId="1" hidden="1">Υποδειγμα!$B$4:$N$4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Υποδειγμα!$P$8</definedName>
    <definedName name="solver_lhs2" localSheetId="1" hidden="1">Υποδειγμα!$P$9:$P$10</definedName>
    <definedName name="solver_lhs3" localSheetId="1" hidden="1">Υποδειγμα!$P$11</definedName>
    <definedName name="solver_lhs4" localSheetId="1" hidden="1">Υποδειγμα!$P$12:$P$13</definedName>
    <definedName name="solver_lhs5" localSheetId="1" hidden="1">Υποδειγμα!$P$14</definedName>
    <definedName name="solver_lhs6" localSheetId="1" hidden="1">Υποδειγμα!$P$15:$P$19</definedName>
    <definedName name="solver_lin" localSheetId="1" hidden="1">1</definedName>
    <definedName name="solver_neg" localSheetId="1" hidden="1">1</definedName>
    <definedName name="solver_num" localSheetId="1" hidden="1">6</definedName>
    <definedName name="solver_nwt" localSheetId="1" hidden="1">1</definedName>
    <definedName name="solver_opt" localSheetId="1" hidden="1">Υποδειγμα!$B$1</definedName>
    <definedName name="solver_pre" localSheetId="1" hidden="1">0.000001</definedName>
    <definedName name="solver_rel1" localSheetId="1" hidden="1">3</definedName>
    <definedName name="solver_rel2" localSheetId="1" hidden="1">2</definedName>
    <definedName name="solver_rel3" localSheetId="1" hidden="1">3</definedName>
    <definedName name="solver_rel4" localSheetId="1" hidden="1">2</definedName>
    <definedName name="solver_rel5" localSheetId="1" hidden="1">3</definedName>
    <definedName name="solver_rel6" localSheetId="1" hidden="1">1</definedName>
    <definedName name="solver_rhs1" localSheetId="1" hidden="1">Υποδειγμα!$Q$8</definedName>
    <definedName name="solver_rhs2" localSheetId="1" hidden="1">Υποδειγμα!$Q$9:$Q$10</definedName>
    <definedName name="solver_rhs3" localSheetId="1" hidden="1">Υποδειγμα!$Q$11</definedName>
    <definedName name="solver_rhs4" localSheetId="1" hidden="1">Υποδειγμα!$Q$12:$Q$13</definedName>
    <definedName name="solver_rhs5" localSheetId="1" hidden="1">Υποδειγμα!$Q$14</definedName>
    <definedName name="solver_rhs6" localSheetId="1" hidden="1">Υποδειγμα!$Q$15:$Q$19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4519"/>
</workbook>
</file>

<file path=xl/calcChain.xml><?xml version="1.0" encoding="utf-8"?>
<calcChain xmlns="http://schemas.openxmlformats.org/spreadsheetml/2006/main">
  <c r="E53" i="2"/>
  <c r="D53"/>
  <c r="J71"/>
  <c r="I71"/>
  <c r="H71"/>
  <c r="G71"/>
  <c r="F71"/>
  <c r="E71"/>
  <c r="D71"/>
  <c r="C71"/>
  <c r="J10" i="1"/>
  <c r="O72" i="2"/>
  <c r="N72"/>
  <c r="M72"/>
  <c r="L72"/>
  <c r="J72"/>
  <c r="I72"/>
  <c r="I64"/>
  <c r="H72"/>
  <c r="G72"/>
  <c r="F72"/>
  <c r="E72"/>
  <c r="D72"/>
  <c r="C72"/>
  <c r="L71"/>
  <c r="M71"/>
  <c r="N71"/>
  <c r="O71"/>
  <c r="O63"/>
  <c r="O64"/>
  <c r="N64"/>
  <c r="N63"/>
  <c r="M64"/>
  <c r="M63"/>
  <c r="L64"/>
  <c r="L63"/>
  <c r="J64"/>
  <c r="J63"/>
  <c r="I63"/>
  <c r="H64"/>
  <c r="H63"/>
  <c r="G64"/>
  <c r="G63"/>
  <c r="F64"/>
  <c r="F63"/>
  <c r="J13" i="1"/>
  <c r="J12"/>
  <c r="J11"/>
  <c r="J9"/>
  <c r="E54" i="2"/>
  <c r="D54"/>
  <c r="H51"/>
  <c r="F53"/>
  <c r="I49"/>
  <c r="C53"/>
  <c r="H49"/>
  <c r="D42"/>
  <c r="D43"/>
  <c r="D41"/>
  <c r="D44" s="1"/>
  <c r="M35"/>
  <c r="M34"/>
  <c r="K35"/>
  <c r="K34"/>
  <c r="I35"/>
  <c r="I34"/>
  <c r="G35"/>
  <c r="G34"/>
  <c r="E35"/>
  <c r="E36"/>
  <c r="M36" s="1"/>
  <c r="E34"/>
  <c r="D27"/>
  <c r="D26"/>
  <c r="D28" s="1"/>
  <c r="D25"/>
  <c r="M16"/>
  <c r="M17"/>
  <c r="M18" s="1"/>
  <c r="M15"/>
  <c r="K16"/>
  <c r="K17"/>
  <c r="K18" s="1"/>
  <c r="K15"/>
  <c r="I16"/>
  <c r="I17"/>
  <c r="I18" s="1"/>
  <c r="I15"/>
  <c r="G16"/>
  <c r="G17"/>
  <c r="G18" s="1"/>
  <c r="G15"/>
  <c r="P4" i="3"/>
  <c r="O4"/>
  <c r="N4"/>
  <c r="M4"/>
  <c r="L4"/>
  <c r="K4"/>
  <c r="J4"/>
  <c r="I4"/>
  <c r="H4"/>
  <c r="E15" s="1"/>
  <c r="G4"/>
  <c r="F4"/>
  <c r="E4"/>
  <c r="D4"/>
  <c r="J17" i="1"/>
  <c r="J16"/>
  <c r="M13"/>
  <c r="K13"/>
  <c r="I13"/>
  <c r="H13"/>
  <c r="G13"/>
  <c r="M12"/>
  <c r="K12"/>
  <c r="I12"/>
  <c r="H12"/>
  <c r="G12"/>
  <c r="N11"/>
  <c r="L11"/>
  <c r="M37" i="2" l="1"/>
  <c r="D63" s="1"/>
  <c r="G36"/>
  <c r="G37" s="1"/>
  <c r="I36"/>
  <c r="C13" i="1" s="1"/>
  <c r="K36" i="2"/>
  <c r="K37" s="1"/>
  <c r="B13" i="1"/>
  <c r="F15" i="3"/>
  <c r="G15" s="1"/>
  <c r="F11" i="1"/>
  <c r="E11"/>
  <c r="I48" i="2"/>
  <c r="H48"/>
  <c r="C12" i="1"/>
  <c r="B12"/>
  <c r="D11"/>
  <c r="C11"/>
  <c r="B11"/>
  <c r="N10"/>
  <c r="L10"/>
  <c r="F10"/>
  <c r="E10"/>
  <c r="D10"/>
  <c r="C10"/>
  <c r="B10"/>
  <c r="N9"/>
  <c r="L9"/>
  <c r="F9"/>
  <c r="E9"/>
  <c r="D9"/>
  <c r="C9"/>
  <c r="B9"/>
  <c r="N8"/>
  <c r="L8"/>
  <c r="J8"/>
  <c r="F8"/>
  <c r="E8"/>
  <c r="D8"/>
  <c r="C8"/>
  <c r="B8"/>
  <c r="C15"/>
  <c r="D15"/>
  <c r="P15" s="1"/>
  <c r="E15"/>
  <c r="F15"/>
  <c r="G15"/>
  <c r="H15"/>
  <c r="I15"/>
  <c r="J15"/>
  <c r="K15"/>
  <c r="L15"/>
  <c r="M15"/>
  <c r="N15"/>
  <c r="B15"/>
  <c r="J14"/>
  <c r="N14"/>
  <c r="F65" i="2"/>
  <c r="E14" i="1" s="1"/>
  <c r="G65" i="2"/>
  <c r="F14" i="1" s="1"/>
  <c r="H65" i="2"/>
  <c r="G14" i="1" s="1"/>
  <c r="I65" i="2"/>
  <c r="H14" i="1" s="1"/>
  <c r="J65" i="2"/>
  <c r="I14" i="1" s="1"/>
  <c r="L65" i="2"/>
  <c r="K14" i="1" s="1"/>
  <c r="M65" i="2"/>
  <c r="L14" i="1" s="1"/>
  <c r="N65" i="2"/>
  <c r="M14" i="1" s="1"/>
  <c r="O65" i="2"/>
  <c r="E64"/>
  <c r="E63"/>
  <c r="E65" s="1"/>
  <c r="D14" i="1" s="1"/>
  <c r="C64" i="2"/>
  <c r="C65" s="1"/>
  <c r="B14" i="1" s="1"/>
  <c r="C63" i="2"/>
  <c r="E14" i="3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B1" i="1"/>
  <c r="P13"/>
  <c r="P16"/>
  <c r="P17"/>
  <c r="P18"/>
  <c r="P19"/>
  <c r="D60" i="2" l="1"/>
  <c r="D64"/>
  <c r="I37"/>
  <c r="D65"/>
  <c r="C14" i="1" s="1"/>
  <c r="P14" s="1"/>
  <c r="P12"/>
  <c r="P8"/>
  <c r="P10"/>
  <c r="P9"/>
  <c r="P11"/>
</calcChain>
</file>

<file path=xl/sharedStrings.xml><?xml version="1.0" encoding="utf-8"?>
<sst xmlns="http://schemas.openxmlformats.org/spreadsheetml/2006/main" count="412" uniqueCount="181">
  <si>
    <t>max Z</t>
  </si>
  <si>
    <t>1η Αμειψισπορά</t>
  </si>
  <si>
    <t>2η Αμειψισπορά</t>
  </si>
  <si>
    <t>Αγορά ενσίρωμα αραβοσίτου</t>
  </si>
  <si>
    <t>Αγορά μηδική σανός</t>
  </si>
  <si>
    <t>Αγορά άχυρο σίτου</t>
  </si>
  <si>
    <t>Αγορά καρπός Αραβοσίτου</t>
  </si>
  <si>
    <t>Αγορά πίτυρα σίτου</t>
  </si>
  <si>
    <t>Αγορά σογιάλευρο</t>
  </si>
  <si>
    <t>Αγελάδες</t>
  </si>
  <si>
    <t>Πώληση αραβόσιτος καρπός</t>
  </si>
  <si>
    <t>Πωληση μηδική σανός</t>
  </si>
  <si>
    <t>Πώληση Κριθάρι καρπός</t>
  </si>
  <si>
    <t>Πώληση ενσίρωμα αραβοσίτου</t>
  </si>
  <si>
    <t>Χ1</t>
  </si>
  <si>
    <t>Χ2</t>
  </si>
  <si>
    <t>Χ3</t>
  </si>
  <si>
    <t>Χ4</t>
  </si>
  <si>
    <t>Χ5</t>
  </si>
  <si>
    <t>Χ6</t>
  </si>
  <si>
    <t>Χ7</t>
  </si>
  <si>
    <t>Χ8</t>
  </si>
  <si>
    <t>Χ9</t>
  </si>
  <si>
    <t>Χ10</t>
  </si>
  <si>
    <t>Χ11</t>
  </si>
  <si>
    <t>Χ12</t>
  </si>
  <si>
    <t>Χ13</t>
  </si>
  <si>
    <t>ΞΟ (Kgr)βασικου σιτηρεσίου - χονδροειδεις ζωοοτροφές (&gt;1,3% ζβ)</t>
  </si>
  <si>
    <t>&gt;</t>
  </si>
  <si>
    <t xml:space="preserve">Ενεργεια (ΚΕΓ MJ) βασικό σιτηρέσιο-χονδροειδείς ζωοτροφές </t>
  </si>
  <si>
    <t>=</t>
  </si>
  <si>
    <t>ΟΑΟ βασικού σιτηρέσιου - χονδροειδείς ζωοτροφές(γραμμαρια)</t>
  </si>
  <si>
    <t>Ινώδεις Ουσίες  βασικού σιτηρεσίου- χονδροειδείς ζωοτροφές, σε γραμμάρια (&gt;22% Ξ.Ο)</t>
  </si>
  <si>
    <t>Ενέργεια (ΚΕΓ MJ) σιτηρέσιου γαλακτοπαραγωγής-συμπυκνωμένες ζωοοτροφες</t>
  </si>
  <si>
    <t>ΟΑΟ σιτηρέσιου γαλακτοπαραγωγής -συμπυκνωμένες ζωοτροφές(γραμμαρια)</t>
  </si>
  <si>
    <t>Ινώδεις Ουσίες, σε γραμμάρια σιτηρεσίων βασικού και γαλακτοπαραγωγής -συμπυκνωμένες και  χονδροειδεις ζωοοτροφές (&gt;18% ΞΟ)</t>
  </si>
  <si>
    <t>Ινώδεις Ουσίες, σε γραμμάρια σιτηρεσίων βασικού και γαλακτοπαραγωγής -συμπυκνωμένες και  χονδροειδεις ζωοοτροφές (&lt;22% ΞΟ)</t>
  </si>
  <si>
    <t>&lt;</t>
  </si>
  <si>
    <t>Στάβλος (χωριτικότητα 25 αγελαδες)</t>
  </si>
  <si>
    <t>Εδαφος (210 στρέμματα)</t>
  </si>
  <si>
    <t>Microsoft Excel 12.0 Answer Report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</si>
  <si>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</si>
  <si>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</si>
  <si>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</si>
  <si>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</si>
  <si>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</si>
  <si>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</si>
  <si>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</si>
  <si>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</si>
  <si>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</si>
  <si>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</si>
  <si>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</si>
  <si>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$B$1</t>
  </si>
  <si>
    <t>$B$4</t>
  </si>
  <si>
    <t>$C$4</t>
  </si>
  <si>
    <t>$D$4</t>
  </si>
  <si>
    <t>$E$4</t>
  </si>
  <si>
    <t>$F$4</t>
  </si>
  <si>
    <t>$G$4</t>
  </si>
  <si>
    <t>$H$4</t>
  </si>
  <si>
    <t>$I$4</t>
  </si>
  <si>
    <t>$J$4</t>
  </si>
  <si>
    <t>$K$4</t>
  </si>
  <si>
    <t>$L$4</t>
  </si>
  <si>
    <t>$M$4</t>
  </si>
  <si>
    <t>$N$4</t>
  </si>
  <si>
    <t>$P$15</t>
  </si>
  <si>
    <t>$P$15&lt;=$Q$15</t>
  </si>
  <si>
    <t>Not Binding</t>
  </si>
  <si>
    <t>$P$16</t>
  </si>
  <si>
    <t>$P$16&lt;=$Q$16</t>
  </si>
  <si>
    <t>Binding</t>
  </si>
  <si>
    <t>$P$17</t>
  </si>
  <si>
    <t>$P$17&lt;=$Q$17</t>
  </si>
  <si>
    <t>$P$18</t>
  </si>
  <si>
    <t>$P$18&lt;=$Q$18</t>
  </si>
  <si>
    <t>$P$19</t>
  </si>
  <si>
    <t>$P$19&lt;=$Q$19</t>
  </si>
  <si>
    <t>$P$11</t>
  </si>
  <si>
    <t>$P$11&gt;=$Q$11</t>
  </si>
  <si>
    <t>$P$12</t>
  </si>
  <si>
    <t>$P$12=$Q$12</t>
  </si>
  <si>
    <t>$P$13</t>
  </si>
  <si>
    <t>$P$13=$Q$13</t>
  </si>
  <si>
    <t>$P$14</t>
  </si>
  <si>
    <t>$P$14&gt;=$Q$14</t>
  </si>
  <si>
    <t>$P$8</t>
  </si>
  <si>
    <t>$P$8&gt;=$Q$8</t>
  </si>
  <si>
    <t>$P$9</t>
  </si>
  <si>
    <t>$P$9=$Q$9</t>
  </si>
  <si>
    <t>$P$10</t>
  </si>
  <si>
    <t>$P$10=$Q$10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</si>
  <si>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</si>
  <si>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</si>
  <si>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</si>
  <si>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</si>
  <si>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</si>
  <si>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</si>
  <si>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</si>
  <si>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</si>
  <si>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</si>
  <si>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</si>
  <si>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</si>
  <si>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</si>
  <si>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</si>
  <si>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</si>
  <si>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Χρησιμοποιούμενες ζωοοτροφές (θρεπτικά στοιχεία/Kgr ζωοτροφής) και τιμές αγοράς και πώλησης</t>
  </si>
  <si>
    <t>Ζωοτροφές</t>
  </si>
  <si>
    <t>Ξηρή Ουσία - Ξ.Ο. (gr/Kgr)</t>
  </si>
  <si>
    <t>Ολικές Αζωτούχες Ουσίες - Ο.Α.Ο. (gr/Kgr)</t>
  </si>
  <si>
    <t>Κ.Ε.Γ (MJ/Kgr)</t>
  </si>
  <si>
    <t>Ινώδεις Ουσίες-Ι.Ο. (gr/Kgr)</t>
  </si>
  <si>
    <t>Τιμή αγοράς (€/Kgr)</t>
  </si>
  <si>
    <t>Τιμή πώλησης (€/Kgr)</t>
  </si>
  <si>
    <t>Αραβόσιτος Καρπός</t>
  </si>
  <si>
    <t>Κριθή καρπός</t>
  </si>
  <si>
    <t>-</t>
  </si>
  <si>
    <t>Σογιάλευρο</t>
  </si>
  <si>
    <t>Πίτυρα σίτου</t>
  </si>
  <si>
    <t>Ενσίρωμα αραβοσίτου</t>
  </si>
  <si>
    <t>Μηδική σανός</t>
  </si>
  <si>
    <t>Άχυρο σίτου</t>
  </si>
  <si>
    <t xml:space="preserve">1η Αμειψισπορά: Παραγωγή προϊόντος κα θρεπτικών στοιχείων </t>
  </si>
  <si>
    <t>Κύκλος εναλλαγής καλλιεργειών</t>
  </si>
  <si>
    <t>Χρόνια</t>
  </si>
  <si>
    <t>Απόδοση ανά στρέμμα (κιλά/ στρέμμα)</t>
  </si>
  <si>
    <t>Συνολική παραγωγή  (κιλά)</t>
  </si>
  <si>
    <t>MJ ΚΕΓ ανά κιλό ζωοτροφής</t>
  </si>
  <si>
    <r>
      <t xml:space="preserve"> Σύνολο MJ ΚΕΓ </t>
    </r>
    <r>
      <rPr>
        <b/>
        <sz val="9"/>
        <color theme="1"/>
        <rFont val="Arial"/>
        <family val="2"/>
        <charset val="161"/>
      </rPr>
      <t>για 6 στρ.</t>
    </r>
  </si>
  <si>
    <t>Ο.Α.Ο. (gr), ανά κιλό ζωοτροφής</t>
  </si>
  <si>
    <r>
      <t xml:space="preserve">Ο.Α.Ο. (gr), </t>
    </r>
    <r>
      <rPr>
        <b/>
        <sz val="9"/>
        <color theme="1"/>
        <rFont val="Arial"/>
        <family val="2"/>
        <charset val="161"/>
      </rPr>
      <t>για 6 στρέμματα</t>
    </r>
  </si>
  <si>
    <t>Ξηρή Ουσία (Kgr), ανά κιλό ζωοτροφής</t>
  </si>
  <si>
    <r>
      <t xml:space="preserve">Ξηρή Ουσία (Kgr), </t>
    </r>
    <r>
      <rPr>
        <b/>
        <sz val="9"/>
        <color theme="1"/>
        <rFont val="Arial"/>
        <family val="2"/>
        <charset val="161"/>
      </rPr>
      <t>για 6 στρέμματα</t>
    </r>
  </si>
  <si>
    <t>Ινώδεις Ουσίες (gr) ανά κιλό ζωοτροφής)</t>
  </si>
  <si>
    <r>
      <t xml:space="preserve">Ινώδεις Ουσίες (γρ), </t>
    </r>
    <r>
      <rPr>
        <b/>
        <sz val="9"/>
        <color theme="1"/>
        <rFont val="Arial"/>
        <family val="2"/>
        <charset val="161"/>
      </rPr>
      <t>για 6 στρέμματα</t>
    </r>
  </si>
  <si>
    <t xml:space="preserve">Αραβόσιτος καρπός </t>
  </si>
  <si>
    <t>Κριθάρι</t>
  </si>
  <si>
    <t>Σύνολο</t>
  </si>
  <si>
    <r>
      <t>Μεταβλητές δαπάνες (ευρώ/στρ)/χρ</t>
    </r>
    <r>
      <rPr>
        <sz val="10"/>
        <color rgb="FF000000"/>
        <rFont val="Times New Roman"/>
        <family val="1"/>
        <charset val="161"/>
      </rPr>
      <t>ό</t>
    </r>
    <r>
      <rPr>
        <sz val="10"/>
        <color rgb="FF000000"/>
        <rFont val="Arial"/>
        <family val="2"/>
        <charset val="161"/>
      </rPr>
      <t>νο</t>
    </r>
  </si>
  <si>
    <t>Σύνολο μεταβλ. δαπανών (ευρώ)</t>
  </si>
  <si>
    <t>Αραβόσιτος καρπός</t>
  </si>
  <si>
    <t>Μηδική</t>
  </si>
  <si>
    <t>ΣΥΝΟΛΟ</t>
  </si>
  <si>
    <r>
      <t xml:space="preserve"> Σύνολο MJ ΚΕΓ </t>
    </r>
    <r>
      <rPr>
        <b/>
        <sz val="10"/>
        <color theme="1"/>
        <rFont val="Arial"/>
        <family val="2"/>
        <charset val="161"/>
      </rPr>
      <t>για 6 στρ.</t>
    </r>
  </si>
  <si>
    <r>
      <t xml:space="preserve">Ο.Α.Ο. (gr), </t>
    </r>
    <r>
      <rPr>
        <b/>
        <sz val="10"/>
        <color theme="1"/>
        <rFont val="Arial"/>
        <family val="2"/>
        <charset val="161"/>
      </rPr>
      <t>για 6 στρέμματα</t>
    </r>
  </si>
  <si>
    <r>
      <t xml:space="preserve">Ξηρή Ουσία (Kgr), </t>
    </r>
    <r>
      <rPr>
        <b/>
        <sz val="10"/>
        <color theme="1"/>
        <rFont val="Arial"/>
        <family val="2"/>
        <charset val="161"/>
      </rPr>
      <t>για 6 στρέμματα</t>
    </r>
  </si>
  <si>
    <r>
      <t xml:space="preserve">Ινώδεις Ουσίες (γρ), </t>
    </r>
    <r>
      <rPr>
        <b/>
        <sz val="10"/>
        <color theme="1"/>
        <rFont val="Arial"/>
        <family val="2"/>
        <charset val="161"/>
      </rPr>
      <t>για 6 στρέμματα</t>
    </r>
  </si>
  <si>
    <t>Αραβόσιτος ενσίρωμα</t>
  </si>
  <si>
    <t>Ανάγκες Αγελάδας γαλακτοπαραγωγής</t>
  </si>
  <si>
    <t>Ξηρά ουσία (Kgr)</t>
  </si>
  <si>
    <t>Ενέργεια (MJ ΚΕΓ)</t>
  </si>
  <si>
    <t>Ολικές Αζωτούχες Ουσίες (gr)</t>
  </si>
  <si>
    <t>Ινώδεις Ουσίες (gr)</t>
  </si>
  <si>
    <t>Ημερήσιες ανάγκες Συντήρησης για Σωματικό Βάρος (Σ.Β.)550 Kgr</t>
  </si>
  <si>
    <r>
      <t xml:space="preserve"> </t>
    </r>
    <r>
      <rPr>
        <b/>
        <sz val="10"/>
        <color rgb="FF000000"/>
        <rFont val="Arial"/>
        <family val="2"/>
        <charset val="161"/>
      </rPr>
      <t>7,15</t>
    </r>
    <r>
      <rPr>
        <sz val="10"/>
        <color rgb="FF000000"/>
        <rFont val="Arial"/>
        <family val="2"/>
        <charset val="161"/>
      </rPr>
      <t xml:space="preserve">            (&gt;1,3% του Σ.Β.)</t>
    </r>
  </si>
  <si>
    <r>
      <rPr>
        <b/>
        <sz val="10"/>
        <color theme="1"/>
        <rFont val="Arial"/>
        <family val="2"/>
        <charset val="161"/>
      </rPr>
      <t>1573</t>
    </r>
    <r>
      <rPr>
        <sz val="10"/>
        <color theme="1"/>
        <rFont val="Arial"/>
        <family val="2"/>
        <charset val="161"/>
      </rPr>
      <t xml:space="preserve">                    (&gt;22% της Ξηράς Ουσίας)</t>
    </r>
  </si>
  <si>
    <t>Ανάγκες ανά λίτρο γάλα (3,5% λιποπεριεκτικότητα)</t>
  </si>
  <si>
    <t>Ετήσιες Ανάγκες ανά Αγελάδα</t>
  </si>
  <si>
    <r>
      <t xml:space="preserve">Ετήσιες ανάγκες Συμπληρωματικού σιτηρεσίου-γαλακτοπαραγωγής </t>
    </r>
    <r>
      <rPr>
        <sz val="10"/>
        <color rgb="FF000000"/>
        <rFont val="Arial"/>
        <family val="2"/>
        <charset val="161"/>
      </rPr>
      <t>που θα καλυφθεί από συμπυκνωμένες ζωοτροφές (καλύπτει ανάγκες γαλακτοπαραγωγής 6.000 λίτρων)</t>
    </r>
  </si>
  <si>
    <t>Ορισμός μεταβλητών απόφασης</t>
  </si>
  <si>
    <t>Περιορισμός συνόλου Ινωδών Ουσιών βασικού και συμπληρωματικού σιτηρεσίου (&gt;18% της ξηράς Ουσίας), σε γραμμάρια</t>
  </si>
  <si>
    <t>Προσφερόμενες (+)</t>
  </si>
  <si>
    <t>Ζητούμενες (-)</t>
  </si>
  <si>
    <t>Διαφορά</t>
  </si>
  <si>
    <t>Περιορισμός συνόλου Ινωδών Ουσιών βασικού και συμπληρωματικού σιτηρεσίου (&lt;22% της ξηράς Ουσίας), σε γραμμάρια</t>
  </si>
  <si>
    <t>Καταναλωση αγελάδων συνολο</t>
  </si>
  <si>
    <t>Καταναλωση ανα αγελαδα/ετος</t>
  </si>
  <si>
    <t>Καταναλωση ανα αγελαδα/μερα</t>
  </si>
  <si>
    <t>Σανός μηδικής</t>
  </si>
  <si>
    <t>Μεταβλητές δαπάνες 1ης αμειψισπορας</t>
  </si>
  <si>
    <t>Μεταβλητές δαπάνες 2ης αμειψισπορας</t>
  </si>
  <si>
    <t xml:space="preserve">2η Αμειψισπορά: Παραγωγή προϊόντος κα θρεπτικών στοιχείων </t>
  </si>
  <si>
    <t>Σιτηρέσιο γαλακτοπαραγωγήςγια 300 μερες/ετος</t>
  </si>
  <si>
    <t>Βασικό σιτηρέσιο για όλο το έτος</t>
  </si>
  <si>
    <t>Κατανάλωση αχύρου (&lt;4 Kgr/μέρα για όλο τον χρόνο)</t>
  </si>
  <si>
    <t>Worksheet: [Λυση αγελαδοτροφικης επιχ με ιδιοπαραγωγη αγορα και πωληση ζωοτροφων (1).xlsx]Υποδειγμα</t>
  </si>
  <si>
    <t>Report Created: 21/5/2016 9:16:44 πμ</t>
  </si>
  <si>
    <t>ΥΠΟΔΕΙΓΜΑ</t>
  </si>
  <si>
    <t>`</t>
  </si>
  <si>
    <r>
      <t xml:space="preserve">Ετήσιες ανάγκες </t>
    </r>
    <r>
      <rPr>
        <b/>
        <u/>
        <sz val="10"/>
        <color rgb="FF000000"/>
        <rFont val="Arial"/>
        <family val="2"/>
        <charset val="161"/>
      </rPr>
      <t>Βασικού σιτηρεσίου</t>
    </r>
    <r>
      <rPr>
        <b/>
        <sz val="10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>που θα καλυφθεί από χονδροειδείς ζωοτροφές (καλύπτει ανάγκες συντήρησης και ημερήσια παραγωγή 8 λίτρων γάλακτος, που ισοδυναμεί δηλαδή με τις ανάγκες κυοφορίας)</t>
    </r>
  </si>
  <si>
    <t>Κατανάλωση πίτυρων (&lt;4 Kgr/μέρα για την περίοδο γαλακτοπαραγωγής, δηλ. 300 μέρες/χρόνο)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</si>
</sst>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rgb="FF000000"/>
      <name val="Times New Roman"/>
      <family val="1"/>
      <charset val="161"/>
    </font>
    <font>
      <b/>
      <u/>
      <sz val="10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charset val="161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3" fillId="0" borderId="0" xfId="1" applyFont="1"/>
    <xf numFmtId="0" fontId="0" fillId="0" borderId="0" xfId="0" applyAlignment="1">
      <alignment wrapText="1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5" xfId="0" applyNumberFormat="1" applyFill="1" applyBorder="1" applyAlignment="1"/>
    <xf numFmtId="0" fontId="0" fillId="0" borderId="16" xfId="0" applyNumberFormat="1" applyFill="1" applyBorder="1" applyAlignment="1"/>
    <xf numFmtId="1" fontId="0" fillId="0" borderId="0" xfId="0" applyNumberFormat="1"/>
    <xf numFmtId="0" fontId="0" fillId="0" borderId="20" xfId="0" applyBorder="1" applyAlignment="1">
      <alignment wrapText="1"/>
    </xf>
    <xf numFmtId="0" fontId="2" fillId="0" borderId="20" xfId="1" applyFill="1" applyBorder="1"/>
    <xf numFmtId="164" fontId="13" fillId="0" borderId="0" xfId="1" applyNumberFormat="1" applyFont="1"/>
    <xf numFmtId="0" fontId="13" fillId="0" borderId="0" xfId="1" applyFont="1"/>
    <xf numFmtId="3" fontId="13" fillId="0" borderId="0" xfId="1" applyNumberFormat="1" applyFont="1"/>
    <xf numFmtId="0" fontId="0" fillId="0" borderId="0" xfId="0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Font="1"/>
    <xf numFmtId="0" fontId="1" fillId="0" borderId="0" xfId="0" applyFont="1"/>
    <xf numFmtId="3" fontId="0" fillId="0" borderId="0" xfId="0" applyNumberFormat="1"/>
    <xf numFmtId="0" fontId="0" fillId="0" borderId="18" xfId="0" applyBorder="1"/>
    <xf numFmtId="0" fontId="0" fillId="0" borderId="19" xfId="0" applyBorder="1"/>
    <xf numFmtId="3" fontId="1" fillId="0" borderId="1" xfId="0" applyNumberFormat="1" applyFont="1" applyBorder="1"/>
    <xf numFmtId="3" fontId="0" fillId="2" borderId="0" xfId="0" applyNumberFormat="1" applyFill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0" borderId="10" xfId="0" applyFont="1" applyBorder="1"/>
    <xf numFmtId="3" fontId="5" fillId="0" borderId="6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wrapText="1"/>
    </xf>
    <xf numFmtId="3" fontId="5" fillId="0" borderId="4" xfId="0" applyNumberFormat="1" applyFont="1" applyBorder="1"/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0" xfId="0" applyFont="1" applyBorder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0" fontId="7" fillId="0" borderId="6" xfId="0" applyFont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wrapText="1"/>
    </xf>
    <xf numFmtId="3" fontId="7" fillId="0" borderId="4" xfId="0" applyNumberFormat="1" applyFont="1" applyBorder="1"/>
    <xf numFmtId="3" fontId="7" fillId="0" borderId="19" xfId="0" applyNumberFormat="1" applyFont="1" applyBorder="1"/>
    <xf numFmtId="0" fontId="0" fillId="0" borderId="0" xfId="0" applyBorder="1"/>
    <xf numFmtId="0" fontId="8" fillId="0" borderId="1" xfId="0" applyFont="1" applyBorder="1"/>
    <xf numFmtId="0" fontId="8" fillId="0" borderId="6" xfId="0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/>
    <xf numFmtId="0" fontId="8" fillId="0" borderId="6" xfId="0" applyFont="1" applyBorder="1"/>
    <xf numFmtId="0" fontId="8" fillId="0" borderId="1" xfId="0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right"/>
    </xf>
    <xf numFmtId="1" fontId="9" fillId="2" borderId="6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0" fontId="9" fillId="0" borderId="0" xfId="0" applyFont="1" applyBorder="1"/>
    <xf numFmtId="0" fontId="8" fillId="0" borderId="0" xfId="0" applyFont="1" applyBorder="1"/>
    <xf numFmtId="1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2" fontId="9" fillId="0" borderId="0" xfId="0" applyNumberFormat="1" applyFont="1" applyFill="1" applyBorder="1" applyAlignment="1">
      <alignment horizontal="right"/>
    </xf>
    <xf numFmtId="0" fontId="5" fillId="0" borderId="0" xfId="0" applyFont="1"/>
    <xf numFmtId="2" fontId="0" fillId="0" borderId="0" xfId="0" applyNumberFormat="1"/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2" fontId="9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3" fontId="9" fillId="0" borderId="1" xfId="0" applyNumberFormat="1" applyFont="1" applyBorder="1" applyAlignment="1"/>
    <xf numFmtId="3" fontId="9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9" fillId="0" borderId="4" xfId="0" applyFont="1" applyBorder="1" applyAlignment="1">
      <alignment horizontal="center" wrapText="1"/>
    </xf>
    <xf numFmtId="1" fontId="9" fillId="0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1" applyBorder="1" applyAlignment="1">
      <alignment wrapText="1"/>
    </xf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2" borderId="0" xfId="0" applyNumberFormat="1" applyFill="1"/>
    <xf numFmtId="1" fontId="0" fillId="0" borderId="0" xfId="0" applyNumberFormat="1"/>
    <xf numFmtId="164" fontId="0" fillId="0" borderId="0" xfId="0" applyNumberFormat="1"/>
    <xf numFmtId="1" fontId="9" fillId="0" borderId="0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164" fontId="0" fillId="0" borderId="1" xfId="0" applyNumberFormat="1" applyBorder="1"/>
    <xf numFmtId="0" fontId="14" fillId="0" borderId="0" xfId="0" applyFont="1"/>
    <xf numFmtId="0" fontId="0" fillId="2" borderId="16" xfId="0" applyFill="1" applyBorder="1" applyAlignment="1"/>
    <xf numFmtId="0" fontId="0" fillId="2" borderId="16" xfId="0" applyNumberFormat="1" applyFill="1" applyBorder="1" applyAlignment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5" fillId="0" borderId="14" xfId="0" applyFont="1" applyFill="1" applyBorder="1" applyAlignment="1">
      <alignment horizontal="center"/>
    </xf>
    <xf numFmtId="164" fontId="0" fillId="0" borderId="16" xfId="0" applyNumberFormat="1" applyFill="1" applyBorder="1" applyAlignment="1"/>
    <xf numFmtId="3" fontId="0" fillId="0" borderId="16" xfId="0" applyNumberForma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0" fillId="2" borderId="15" xfId="0" applyFill="1" applyBorder="1" applyAlignment="1"/>
    <xf numFmtId="0" fontId="0" fillId="2" borderId="15" xfId="0" applyNumberFormat="1" applyFill="1" applyBorder="1" applyAlignment="1"/>
    <xf numFmtId="3" fontId="16" fillId="0" borderId="6" xfId="0" applyNumberFormat="1" applyFont="1" applyBorder="1" applyAlignment="1">
      <alignment horizontal="right" vertical="top" wrapText="1"/>
    </xf>
    <xf numFmtId="3" fontId="0" fillId="0" borderId="0" xfId="0" applyNumberFormat="1" applyFill="1"/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0" fillId="2" borderId="1" xfId="0" applyFill="1" applyBorder="1" applyAlignment="1">
      <alignment horizontal="right" textRotation="180" wrapText="1"/>
    </xf>
    <xf numFmtId="0" fontId="0" fillId="3" borderId="10" xfId="0" applyFill="1" applyBorder="1" applyAlignment="1">
      <alignment horizontal="right" textRotation="180" wrapText="1"/>
    </xf>
    <xf numFmtId="0" fontId="0" fillId="3" borderId="21" xfId="0" applyFill="1" applyBorder="1" applyAlignment="1">
      <alignment horizontal="right" textRotation="180" wrapText="1"/>
    </xf>
    <xf numFmtId="0" fontId="0" fillId="3" borderId="4" xfId="0" applyFill="1" applyBorder="1" applyAlignment="1">
      <alignment horizontal="right" textRotation="180" wrapText="1"/>
    </xf>
    <xf numFmtId="0" fontId="14" fillId="2" borderId="20" xfId="0" applyFont="1" applyFill="1" applyBorder="1"/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3"/>
  <sheetViews>
    <sheetView topLeftCell="A49" workbookViewId="0">
      <selection activeCell="D54" sqref="D54"/>
    </sheetView>
  </sheetViews>
  <sheetFormatPr defaultRowHeight="15"/>
  <cols>
    <col min="1" max="1" width="30.5703125" customWidth="1"/>
    <col min="2" max="2" width="10.140625" customWidth="1"/>
    <col min="3" max="3" width="9.7109375" customWidth="1"/>
    <col min="4" max="4" width="10.28515625" customWidth="1"/>
  </cols>
  <sheetData>
    <row r="2" spans="1:14" ht="15.75" thickBot="1">
      <c r="A2" s="159" t="s">
        <v>106</v>
      </c>
      <c r="B2" s="159"/>
      <c r="C2" s="159"/>
      <c r="D2" s="159"/>
      <c r="E2" s="159"/>
      <c r="F2" s="159"/>
      <c r="G2" s="159"/>
      <c r="H2" s="159"/>
      <c r="I2" s="16"/>
      <c r="J2" s="16"/>
      <c r="K2" s="16"/>
      <c r="L2" s="16"/>
      <c r="M2" s="16"/>
      <c r="N2" s="16"/>
    </row>
    <row r="3" spans="1:14" ht="65.25" thickBot="1">
      <c r="A3" s="99" t="s">
        <v>107</v>
      </c>
      <c r="B3" s="92"/>
      <c r="C3" s="109" t="s">
        <v>108</v>
      </c>
      <c r="D3" s="109" t="s">
        <v>109</v>
      </c>
      <c r="E3" s="109" t="s">
        <v>110</v>
      </c>
      <c r="F3" s="109" t="s">
        <v>111</v>
      </c>
      <c r="G3" s="109" t="s">
        <v>112</v>
      </c>
      <c r="H3" s="109" t="s">
        <v>113</v>
      </c>
      <c r="I3" s="16"/>
      <c r="J3" s="16"/>
      <c r="K3" s="16"/>
      <c r="L3" s="16"/>
      <c r="M3" s="16"/>
      <c r="N3" s="16"/>
    </row>
    <row r="4" spans="1:14" ht="15.75" thickBot="1">
      <c r="A4" s="40" t="s">
        <v>114</v>
      </c>
      <c r="B4" s="110"/>
      <c r="C4" s="40">
        <v>880</v>
      </c>
      <c r="D4" s="40">
        <v>85</v>
      </c>
      <c r="E4" s="40">
        <v>8.4</v>
      </c>
      <c r="F4" s="40">
        <v>22</v>
      </c>
      <c r="G4" s="40">
        <v>0.19</v>
      </c>
      <c r="H4" s="40">
        <v>0.17</v>
      </c>
      <c r="I4" s="16"/>
      <c r="J4" s="16"/>
      <c r="K4" s="16"/>
      <c r="L4" s="16"/>
      <c r="M4" s="16"/>
      <c r="N4" s="16"/>
    </row>
    <row r="5" spans="1:14" ht="15.75" thickBot="1">
      <c r="A5" s="40" t="s">
        <v>115</v>
      </c>
      <c r="B5" s="110"/>
      <c r="C5" s="40">
        <v>860</v>
      </c>
      <c r="D5" s="40">
        <v>106</v>
      </c>
      <c r="E5" s="40">
        <v>7.6</v>
      </c>
      <c r="F5" s="40">
        <v>44</v>
      </c>
      <c r="G5" s="111" t="s">
        <v>116</v>
      </c>
      <c r="H5" s="40">
        <v>0.17</v>
      </c>
      <c r="I5" s="16"/>
      <c r="J5" s="16"/>
      <c r="K5" s="16"/>
      <c r="L5" s="16"/>
      <c r="M5" s="16"/>
      <c r="N5" s="16"/>
    </row>
    <row r="6" spans="1:14" ht="15.75" thickBot="1">
      <c r="A6" s="40" t="s">
        <v>117</v>
      </c>
      <c r="B6" s="110"/>
      <c r="C6" s="40">
        <v>900</v>
      </c>
      <c r="D6" s="40">
        <v>445</v>
      </c>
      <c r="E6" s="40">
        <v>7.35</v>
      </c>
      <c r="F6" s="40">
        <v>62</v>
      </c>
      <c r="G6" s="40">
        <v>0.3</v>
      </c>
      <c r="H6" s="111" t="s">
        <v>116</v>
      </c>
      <c r="I6" s="16"/>
      <c r="J6" s="16"/>
      <c r="K6" s="16"/>
      <c r="L6" s="16"/>
      <c r="M6" s="16"/>
      <c r="N6" s="16"/>
    </row>
    <row r="7" spans="1:14" ht="15.75" thickBot="1">
      <c r="A7" s="40" t="s">
        <v>118</v>
      </c>
      <c r="B7" s="110"/>
      <c r="C7" s="40">
        <v>870</v>
      </c>
      <c r="D7" s="40">
        <v>160</v>
      </c>
      <c r="E7" s="40">
        <v>5.75</v>
      </c>
      <c r="F7" s="40">
        <v>103</v>
      </c>
      <c r="G7" s="40">
        <v>0.16</v>
      </c>
      <c r="H7" s="111" t="s">
        <v>116</v>
      </c>
      <c r="I7" s="16"/>
      <c r="J7" s="16"/>
      <c r="K7" s="16"/>
      <c r="L7" s="16"/>
      <c r="M7" s="16"/>
      <c r="N7" s="16"/>
    </row>
    <row r="8" spans="1:14" ht="15.75" thickBot="1">
      <c r="A8" s="40" t="s">
        <v>119</v>
      </c>
      <c r="B8" s="110"/>
      <c r="C8" s="40">
        <v>300</v>
      </c>
      <c r="D8" s="40">
        <v>27</v>
      </c>
      <c r="E8" s="40">
        <v>2.15</v>
      </c>
      <c r="F8" s="40">
        <v>53</v>
      </c>
      <c r="G8" s="40">
        <v>4.7E-2</v>
      </c>
      <c r="H8" s="40">
        <v>3.5000000000000003E-2</v>
      </c>
      <c r="I8" s="16"/>
      <c r="J8" s="16"/>
      <c r="K8" s="16"/>
      <c r="L8" s="16"/>
      <c r="M8" s="16"/>
      <c r="N8" s="16"/>
    </row>
    <row r="9" spans="1:14" ht="15.75" thickBot="1">
      <c r="A9" s="40" t="s">
        <v>120</v>
      </c>
      <c r="B9" s="110"/>
      <c r="C9" s="40">
        <v>860</v>
      </c>
      <c r="D9" s="40">
        <v>130</v>
      </c>
      <c r="E9" s="40">
        <v>3.7</v>
      </c>
      <c r="F9" s="40">
        <v>310</v>
      </c>
      <c r="G9" s="40">
        <v>0.14000000000000001</v>
      </c>
      <c r="H9" s="40">
        <v>0.12</v>
      </c>
      <c r="I9" s="16"/>
      <c r="J9" s="16"/>
      <c r="K9" s="16"/>
      <c r="L9" s="16"/>
      <c r="M9" s="16"/>
      <c r="N9" s="16"/>
    </row>
    <row r="10" spans="1:14" ht="15.75" thickBot="1">
      <c r="A10" s="40" t="s">
        <v>121</v>
      </c>
      <c r="B10" s="110"/>
      <c r="C10" s="40">
        <v>870</v>
      </c>
      <c r="D10" s="40">
        <v>25</v>
      </c>
      <c r="E10" s="40">
        <v>2.86</v>
      </c>
      <c r="F10" s="40">
        <v>400</v>
      </c>
      <c r="G10" s="40">
        <v>0.09</v>
      </c>
      <c r="H10" s="111" t="s">
        <v>116</v>
      </c>
      <c r="I10" s="16"/>
      <c r="J10" s="16"/>
      <c r="K10" s="16"/>
      <c r="L10" s="16"/>
      <c r="M10" s="16"/>
      <c r="N10" s="16"/>
    </row>
    <row r="13" spans="1:14" ht="15.75" thickBot="1">
      <c r="A13" s="156" t="s">
        <v>122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6"/>
    </row>
    <row r="14" spans="1:14" ht="73.5" thickBot="1">
      <c r="A14" s="162" t="s">
        <v>123</v>
      </c>
      <c r="B14" s="163"/>
      <c r="C14" s="52" t="s">
        <v>124</v>
      </c>
      <c r="D14" s="53" t="s">
        <v>125</v>
      </c>
      <c r="E14" s="54" t="s">
        <v>126</v>
      </c>
      <c r="F14" s="55" t="s">
        <v>127</v>
      </c>
      <c r="G14" s="56" t="s">
        <v>128</v>
      </c>
      <c r="H14" s="56" t="s">
        <v>129</v>
      </c>
      <c r="I14" s="56" t="s">
        <v>130</v>
      </c>
      <c r="J14" s="57" t="s">
        <v>131</v>
      </c>
      <c r="K14" s="57" t="s">
        <v>132</v>
      </c>
      <c r="L14" s="58" t="s">
        <v>133</v>
      </c>
      <c r="M14" s="58" t="s">
        <v>134</v>
      </c>
      <c r="N14" s="16"/>
    </row>
    <row r="15" spans="1:14" ht="15.75" thickBot="1">
      <c r="A15" s="164" t="s">
        <v>135</v>
      </c>
      <c r="B15" s="165"/>
      <c r="C15" s="59">
        <v>1</v>
      </c>
      <c r="D15" s="59">
        <v>1100</v>
      </c>
      <c r="E15" s="59">
        <v>1100</v>
      </c>
      <c r="F15" s="60">
        <v>8.4</v>
      </c>
      <c r="G15" s="61">
        <f>E15*F15</f>
        <v>9240</v>
      </c>
      <c r="H15" s="61">
        <v>85</v>
      </c>
      <c r="I15" s="62">
        <f>E15*H15</f>
        <v>93500</v>
      </c>
      <c r="J15" s="63">
        <v>0.88</v>
      </c>
      <c r="K15" s="64">
        <f>E15*J15</f>
        <v>968</v>
      </c>
      <c r="L15" s="65">
        <v>22</v>
      </c>
      <c r="M15" s="66">
        <f>E15*L15</f>
        <v>24200</v>
      </c>
      <c r="N15" s="16"/>
    </row>
    <row r="16" spans="1:14" ht="15.75" thickBot="1">
      <c r="A16" s="174" t="s">
        <v>120</v>
      </c>
      <c r="B16" s="175"/>
      <c r="C16" s="67">
        <v>4</v>
      </c>
      <c r="D16" s="67">
        <v>1300</v>
      </c>
      <c r="E16" s="67">
        <v>5200</v>
      </c>
      <c r="F16" s="61">
        <v>3.7</v>
      </c>
      <c r="G16" s="61">
        <f t="shared" ref="G16:G17" si="0">E16*F16</f>
        <v>19240</v>
      </c>
      <c r="H16" s="61">
        <v>130</v>
      </c>
      <c r="I16" s="62">
        <f t="shared" ref="I16:I17" si="1">E16*H16</f>
        <v>676000</v>
      </c>
      <c r="J16" s="57">
        <v>0.86</v>
      </c>
      <c r="K16" s="64">
        <f t="shared" ref="K16:K17" si="2">E16*J16</f>
        <v>4472</v>
      </c>
      <c r="L16" s="68">
        <v>310</v>
      </c>
      <c r="M16" s="66">
        <f t="shared" ref="M16:M17" si="3">E16*L16</f>
        <v>1612000</v>
      </c>
      <c r="N16" s="29"/>
    </row>
    <row r="17" spans="1:14" ht="15.75" thickBot="1">
      <c r="A17" s="152" t="s">
        <v>136</v>
      </c>
      <c r="B17" s="153"/>
      <c r="C17" s="67">
        <v>1</v>
      </c>
      <c r="D17" s="69">
        <v>350</v>
      </c>
      <c r="E17" s="69">
        <v>350</v>
      </c>
      <c r="F17" s="70">
        <v>7.6</v>
      </c>
      <c r="G17" s="61">
        <f t="shared" si="0"/>
        <v>2660</v>
      </c>
      <c r="H17" s="70">
        <v>106</v>
      </c>
      <c r="I17" s="62">
        <f t="shared" si="1"/>
        <v>37100</v>
      </c>
      <c r="J17" s="66">
        <v>0.86</v>
      </c>
      <c r="K17" s="64">
        <f t="shared" si="2"/>
        <v>301</v>
      </c>
      <c r="L17" s="68">
        <v>44</v>
      </c>
      <c r="M17" s="66">
        <f t="shared" si="3"/>
        <v>15400</v>
      </c>
      <c r="N17" s="29"/>
    </row>
    <row r="18" spans="1:14" ht="15.75" thickBot="1">
      <c r="A18" s="150" t="s">
        <v>137</v>
      </c>
      <c r="B18" s="151"/>
      <c r="C18" s="69"/>
      <c r="D18" s="69"/>
      <c r="E18" s="69"/>
      <c r="F18" s="61"/>
      <c r="G18" s="137">
        <f>SUM(G15:G17)</f>
        <v>31140</v>
      </c>
      <c r="H18" s="71"/>
      <c r="I18" s="72">
        <f>SUM(I15:I17)</f>
        <v>806600</v>
      </c>
      <c r="J18" s="73"/>
      <c r="K18" s="74">
        <f>SUM(K15:K17)</f>
        <v>5741</v>
      </c>
      <c r="L18" s="68"/>
      <c r="M18" s="75">
        <f>SUM(M15:M17)</f>
        <v>1651600</v>
      </c>
      <c r="N18" s="29"/>
    </row>
    <row r="19" spans="1:1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8"/>
      <c r="M19" s="28"/>
      <c r="N19" s="16"/>
    </row>
    <row r="20" spans="1:1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76"/>
      <c r="M20" s="76"/>
      <c r="N20" s="16"/>
    </row>
    <row r="21" spans="1:1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76"/>
      <c r="M21" s="76"/>
      <c r="N21" s="16"/>
    </row>
    <row r="22" spans="1:14" ht="15.75" thickBo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76"/>
      <c r="M22" s="76"/>
      <c r="N22" s="16"/>
    </row>
    <row r="23" spans="1:14" ht="15.75" thickBot="1">
      <c r="A23" s="139" t="s">
        <v>169</v>
      </c>
      <c r="B23" s="140"/>
      <c r="C23" s="140"/>
      <c r="D23" s="141"/>
      <c r="E23" s="25"/>
      <c r="F23" s="25"/>
      <c r="G23" s="25"/>
      <c r="H23" s="25"/>
      <c r="I23" s="25"/>
      <c r="J23" s="25"/>
      <c r="K23" s="25"/>
      <c r="L23" s="76"/>
      <c r="M23" s="76"/>
      <c r="N23" s="16"/>
    </row>
    <row r="24" spans="1:14" ht="65.25" thickBot="1">
      <c r="A24" s="160" t="s">
        <v>123</v>
      </c>
      <c r="B24" s="160"/>
      <c r="C24" s="82" t="s">
        <v>138</v>
      </c>
      <c r="D24" s="82" t="s">
        <v>139</v>
      </c>
      <c r="E24" s="25"/>
      <c r="F24" s="25"/>
      <c r="G24" s="25"/>
      <c r="H24" s="25"/>
      <c r="I24" s="25"/>
      <c r="J24" s="25"/>
      <c r="K24" s="25"/>
      <c r="L24" s="76"/>
      <c r="M24" s="76"/>
      <c r="N24" s="16"/>
    </row>
    <row r="25" spans="1:14" ht="15.75" thickBot="1">
      <c r="A25" s="77" t="s">
        <v>140</v>
      </c>
      <c r="B25" s="78">
        <v>1</v>
      </c>
      <c r="C25" s="83">
        <v>134.11693</v>
      </c>
      <c r="D25" s="83">
        <f>C25</f>
        <v>134.11693</v>
      </c>
      <c r="E25" s="25"/>
      <c r="F25" s="25"/>
      <c r="G25" s="25"/>
      <c r="H25" s="25"/>
      <c r="I25" s="76"/>
      <c r="J25" s="76"/>
      <c r="K25" s="16"/>
    </row>
    <row r="26" spans="1:14" ht="15.75" thickBot="1">
      <c r="A26" s="79" t="s">
        <v>141</v>
      </c>
      <c r="B26" s="78">
        <v>4</v>
      </c>
      <c r="C26" s="83">
        <v>125.83669999999999</v>
      </c>
      <c r="D26" s="83">
        <f>B26*C26</f>
        <v>503.34679999999997</v>
      </c>
      <c r="E26" s="25"/>
      <c r="F26" s="25"/>
      <c r="G26" s="25"/>
      <c r="H26" s="25"/>
      <c r="I26" s="76"/>
      <c r="J26" s="76"/>
      <c r="K26" s="16"/>
    </row>
    <row r="27" spans="1:14" ht="15.75" thickBot="1">
      <c r="A27" s="79" t="s">
        <v>136</v>
      </c>
      <c r="B27" s="78">
        <v>1</v>
      </c>
      <c r="C27" s="83">
        <v>39</v>
      </c>
      <c r="D27" s="83">
        <f>B27*C27</f>
        <v>39</v>
      </c>
      <c r="E27" s="25"/>
      <c r="F27" s="25"/>
      <c r="G27" s="25"/>
      <c r="H27" s="25"/>
      <c r="I27" s="76"/>
      <c r="J27" s="76"/>
      <c r="K27" s="16"/>
    </row>
    <row r="28" spans="1:14" ht="15.75" thickBot="1">
      <c r="A28" s="80" t="s">
        <v>142</v>
      </c>
      <c r="B28" s="81"/>
      <c r="C28" s="81"/>
      <c r="D28" s="84">
        <f>SUM(D25:D27)</f>
        <v>676.46372999999994</v>
      </c>
      <c r="E28" s="25"/>
      <c r="F28" s="25"/>
      <c r="G28" s="25"/>
      <c r="H28" s="25"/>
      <c r="I28" s="76"/>
      <c r="J28" s="76"/>
      <c r="K28" s="16"/>
    </row>
    <row r="29" spans="1:1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76"/>
      <c r="M29" s="76"/>
      <c r="N29" s="16"/>
    </row>
    <row r="30" spans="1:1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76"/>
      <c r="M30" s="76"/>
      <c r="N30" s="16"/>
    </row>
    <row r="31" spans="1:1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6"/>
      <c r="M31" s="16"/>
      <c r="N31" s="16"/>
    </row>
    <row r="32" spans="1:14" ht="15.75" thickBot="1">
      <c r="A32" s="156" t="s">
        <v>171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6"/>
    </row>
    <row r="33" spans="1:15" ht="78" thickBot="1">
      <c r="A33" s="154" t="s">
        <v>123</v>
      </c>
      <c r="B33" s="155"/>
      <c r="C33" s="23" t="s">
        <v>124</v>
      </c>
      <c r="D33" s="17" t="s">
        <v>125</v>
      </c>
      <c r="E33" s="33" t="s">
        <v>126</v>
      </c>
      <c r="F33" s="48" t="s">
        <v>127</v>
      </c>
      <c r="G33" s="49" t="s">
        <v>143</v>
      </c>
      <c r="H33" s="18" t="s">
        <v>129</v>
      </c>
      <c r="I33" s="18" t="s">
        <v>144</v>
      </c>
      <c r="J33" s="34" t="s">
        <v>131</v>
      </c>
      <c r="K33" s="34" t="s">
        <v>145</v>
      </c>
      <c r="L33" s="35" t="s">
        <v>133</v>
      </c>
      <c r="M33" s="35" t="s">
        <v>146</v>
      </c>
      <c r="N33" s="16"/>
      <c r="O33" s="16"/>
    </row>
    <row r="34" spans="1:15" ht="15.75" thickBot="1">
      <c r="A34" s="166" t="s">
        <v>120</v>
      </c>
      <c r="B34" s="167"/>
      <c r="C34" s="36">
        <v>4</v>
      </c>
      <c r="D34" s="41">
        <v>1300</v>
      </c>
      <c r="E34" s="36">
        <f>C34*D34</f>
        <v>5200</v>
      </c>
      <c r="F34" s="42">
        <v>3.7</v>
      </c>
      <c r="G34" s="19">
        <f>E34*F34</f>
        <v>19240</v>
      </c>
      <c r="H34" s="19">
        <v>130</v>
      </c>
      <c r="I34" s="50">
        <f>E34*H34</f>
        <v>676000</v>
      </c>
      <c r="J34" s="37">
        <v>0.86</v>
      </c>
      <c r="K34" s="38">
        <f>E34*J34</f>
        <v>4472</v>
      </c>
      <c r="L34" s="39">
        <v>310</v>
      </c>
      <c r="M34" s="40">
        <f>E34*L34</f>
        <v>1612000</v>
      </c>
      <c r="N34" s="16"/>
      <c r="O34" s="27"/>
    </row>
    <row r="35" spans="1:15" ht="15.75" thickBot="1">
      <c r="A35" s="168" t="s">
        <v>147</v>
      </c>
      <c r="B35" s="169"/>
      <c r="C35" s="41">
        <v>1</v>
      </c>
      <c r="D35" s="20">
        <v>6000</v>
      </c>
      <c r="E35" s="36">
        <f t="shared" ref="E35:E36" si="4">C35*D35</f>
        <v>6000</v>
      </c>
      <c r="F35" s="19">
        <v>2.15</v>
      </c>
      <c r="G35" s="19">
        <f t="shared" ref="G35:G36" si="5">E35*F35</f>
        <v>12900</v>
      </c>
      <c r="H35" s="19">
        <v>27</v>
      </c>
      <c r="I35" s="50">
        <f t="shared" ref="I35:I36" si="6">E35*H35</f>
        <v>162000</v>
      </c>
      <c r="J35" s="34">
        <v>0.3</v>
      </c>
      <c r="K35" s="38">
        <f t="shared" ref="K35:K36" si="7">E35*J35</f>
        <v>1800</v>
      </c>
      <c r="L35" s="43">
        <v>53</v>
      </c>
      <c r="M35" s="40">
        <f t="shared" ref="M35:M36" si="8">E35*L35</f>
        <v>318000</v>
      </c>
      <c r="N35" s="29"/>
      <c r="O35" s="16"/>
    </row>
    <row r="36" spans="1:15" ht="15.75" thickBot="1">
      <c r="A36" s="170" t="s">
        <v>136</v>
      </c>
      <c r="B36" s="171"/>
      <c r="C36" s="41">
        <v>1</v>
      </c>
      <c r="D36" s="20">
        <v>350</v>
      </c>
      <c r="E36" s="36">
        <f t="shared" si="4"/>
        <v>350</v>
      </c>
      <c r="F36" s="21">
        <v>7.6</v>
      </c>
      <c r="G36" s="19">
        <f t="shared" si="5"/>
        <v>2660</v>
      </c>
      <c r="H36" s="21">
        <v>106</v>
      </c>
      <c r="I36" s="50">
        <f t="shared" si="6"/>
        <v>37100</v>
      </c>
      <c r="J36" s="40">
        <v>0.86</v>
      </c>
      <c r="K36" s="38">
        <f t="shared" si="7"/>
        <v>301</v>
      </c>
      <c r="L36" s="43">
        <v>44</v>
      </c>
      <c r="M36" s="40">
        <f t="shared" si="8"/>
        <v>15400</v>
      </c>
      <c r="N36" s="29"/>
      <c r="O36" s="16"/>
    </row>
    <row r="37" spans="1:15" ht="15.75" thickBot="1">
      <c r="A37" s="172" t="s">
        <v>137</v>
      </c>
      <c r="B37" s="173"/>
      <c r="C37" s="20"/>
      <c r="D37" s="20"/>
      <c r="E37" s="20"/>
      <c r="F37" s="19"/>
      <c r="G37" s="44">
        <f>SUM(G34:G36)</f>
        <v>34800</v>
      </c>
      <c r="H37" s="22"/>
      <c r="I37" s="45">
        <f>SUM(I34:I36)</f>
        <v>875100</v>
      </c>
      <c r="J37" s="46"/>
      <c r="K37" s="47">
        <f>SUM(K34:K36)</f>
        <v>6573</v>
      </c>
      <c r="L37" s="43"/>
      <c r="M37" s="51">
        <f>SUM(M34:M36)</f>
        <v>1945400</v>
      </c>
      <c r="N37" s="29"/>
      <c r="O37" s="16"/>
    </row>
    <row r="38" spans="1:15" ht="15.75" thickBo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28"/>
      <c r="M38" s="16"/>
      <c r="N38" s="16"/>
      <c r="O38" s="16"/>
    </row>
    <row r="39" spans="1:15" ht="15.75" thickBot="1">
      <c r="A39" s="139" t="s">
        <v>170</v>
      </c>
      <c r="B39" s="140"/>
      <c r="C39" s="140"/>
      <c r="D39" s="14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65.25" thickBot="1">
      <c r="A40" s="160" t="s">
        <v>123</v>
      </c>
      <c r="B40" s="160"/>
      <c r="C40" s="82" t="s">
        <v>138</v>
      </c>
      <c r="D40" s="82" t="s">
        <v>139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thickBot="1">
      <c r="A41" s="77" t="s">
        <v>120</v>
      </c>
      <c r="B41" s="78">
        <v>4</v>
      </c>
      <c r="C41" s="85">
        <v>126</v>
      </c>
      <c r="D41" s="83">
        <f>B41*C41</f>
        <v>504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thickBot="1">
      <c r="A42" s="79" t="s">
        <v>147</v>
      </c>
      <c r="B42" s="78">
        <v>1</v>
      </c>
      <c r="C42" s="86">
        <v>166</v>
      </c>
      <c r="D42" s="83">
        <f t="shared" ref="D42:D43" si="9">B42*C42</f>
        <v>166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thickBot="1">
      <c r="A43" s="79" t="s">
        <v>136</v>
      </c>
      <c r="B43" s="78">
        <v>1</v>
      </c>
      <c r="C43" s="86">
        <v>39</v>
      </c>
      <c r="D43" s="83">
        <f t="shared" si="9"/>
        <v>39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thickBot="1">
      <c r="A44" s="80" t="s">
        <v>142</v>
      </c>
      <c r="B44" s="81"/>
      <c r="C44" s="81"/>
      <c r="D44" s="84">
        <f>SUM(D41:D43)</f>
        <v>709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thickBot="1">
      <c r="A45" s="87"/>
      <c r="B45" s="88"/>
      <c r="C45" s="88"/>
      <c r="D45" s="8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thickBot="1">
      <c r="A46" s="158" t="s">
        <v>148</v>
      </c>
      <c r="B46" s="158"/>
      <c r="C46" s="158"/>
      <c r="D46" s="158"/>
      <c r="E46" s="158"/>
      <c r="F46" s="158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65.25" thickBot="1">
      <c r="A47" s="148"/>
      <c r="B47" s="149"/>
      <c r="C47" s="105" t="s">
        <v>149</v>
      </c>
      <c r="D47" s="105" t="s">
        <v>150</v>
      </c>
      <c r="E47" s="106" t="s">
        <v>151</v>
      </c>
      <c r="F47" s="107" t="s">
        <v>152</v>
      </c>
      <c r="G47" s="16"/>
      <c r="H47" s="16"/>
      <c r="I47" s="16"/>
      <c r="J47" s="16"/>
      <c r="K47" s="16"/>
      <c r="L47" s="93"/>
      <c r="M47" s="16"/>
      <c r="N47" s="16"/>
      <c r="O47" s="16"/>
    </row>
    <row r="48" spans="1:15" ht="57.75" customHeight="1" thickBot="1">
      <c r="A48" s="142" t="s">
        <v>153</v>
      </c>
      <c r="B48" s="143"/>
      <c r="C48" s="97" t="s">
        <v>154</v>
      </c>
      <c r="D48" s="98">
        <v>33.299999999999997</v>
      </c>
      <c r="E48" s="99">
        <v>425</v>
      </c>
      <c r="F48" s="34" t="s">
        <v>155</v>
      </c>
      <c r="G48" s="16"/>
      <c r="H48" s="180">
        <f>550*0.013</f>
        <v>7.1499999999999995</v>
      </c>
      <c r="I48" s="180">
        <f>H48*0.22*1000</f>
        <v>1573</v>
      </c>
      <c r="J48" s="113"/>
      <c r="K48" s="113"/>
      <c r="L48" s="16"/>
      <c r="M48" s="16"/>
      <c r="N48" s="16"/>
      <c r="O48" s="16"/>
    </row>
    <row r="49" spans="1:15" ht="31.5" customHeight="1" thickBot="1">
      <c r="A49" s="142" t="s">
        <v>156</v>
      </c>
      <c r="B49" s="143"/>
      <c r="C49" s="77"/>
      <c r="D49" s="100">
        <v>2.97</v>
      </c>
      <c r="E49" s="101">
        <v>70</v>
      </c>
      <c r="F49" s="24"/>
      <c r="G49" s="16"/>
      <c r="H49" s="16">
        <f>H48*365</f>
        <v>2609.75</v>
      </c>
      <c r="I49" s="16">
        <f>(33.3*365)+(2.97*8*365)</f>
        <v>20826.900000000001</v>
      </c>
      <c r="J49" s="113"/>
      <c r="K49" s="16"/>
      <c r="L49" s="16"/>
      <c r="M49" s="16"/>
      <c r="N49" s="16"/>
      <c r="O49" s="16"/>
    </row>
    <row r="50" spans="1:15" ht="15.75" thickBot="1">
      <c r="A50" s="90"/>
      <c r="B50" s="88"/>
      <c r="C50" s="88"/>
      <c r="D50" s="91"/>
      <c r="E50" s="2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thickBot="1">
      <c r="A51" s="161" t="s">
        <v>157</v>
      </c>
      <c r="B51" s="161"/>
      <c r="C51" s="161"/>
      <c r="D51" s="161"/>
      <c r="E51" s="161"/>
      <c r="F51" s="161"/>
      <c r="G51" s="16"/>
      <c r="H51" s="16">
        <f>D49*6000</f>
        <v>17820</v>
      </c>
      <c r="I51" s="16"/>
      <c r="J51" s="16"/>
      <c r="K51" s="16"/>
      <c r="L51" s="16"/>
      <c r="M51" s="16"/>
      <c r="N51" s="16"/>
      <c r="O51" s="16"/>
    </row>
    <row r="52" spans="1:15" ht="65.25" thickBot="1">
      <c r="A52" s="146"/>
      <c r="B52" s="147"/>
      <c r="C52" s="94" t="s">
        <v>149</v>
      </c>
      <c r="D52" s="94" t="s">
        <v>150</v>
      </c>
      <c r="E52" s="95" t="s">
        <v>151</v>
      </c>
      <c r="F52" s="96" t="s">
        <v>152</v>
      </c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86.25" customHeight="1" thickBot="1">
      <c r="A53" s="142" t="s">
        <v>179</v>
      </c>
      <c r="B53" s="143"/>
      <c r="C53" s="102">
        <f>7.15*365</f>
        <v>2609.75</v>
      </c>
      <c r="D53" s="103">
        <f>(D48*365)+(D49*8*365)</f>
        <v>20826.900000000001</v>
      </c>
      <c r="E53" s="30">
        <f>(E48*365)+(8*E49*365)</f>
        <v>359525</v>
      </c>
      <c r="F53" s="30">
        <f>1573*365</f>
        <v>574145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69.75" customHeight="1" thickBot="1">
      <c r="A54" s="144" t="s">
        <v>158</v>
      </c>
      <c r="B54" s="145"/>
      <c r="C54" s="77"/>
      <c r="D54" s="103">
        <f>D49*6000</f>
        <v>17820</v>
      </c>
      <c r="E54" s="51">
        <f>E49*6000</f>
        <v>420000</v>
      </c>
      <c r="F54" s="104"/>
      <c r="G54" s="16"/>
      <c r="H54" s="16"/>
      <c r="I54" s="16"/>
      <c r="J54" s="113" t="s">
        <v>178</v>
      </c>
      <c r="K54" s="16"/>
      <c r="L54" s="16"/>
      <c r="M54" s="16"/>
      <c r="N54" s="16"/>
      <c r="O54" s="16"/>
    </row>
    <row r="55" spans="1:15" ht="15.75" thickBot="1">
      <c r="A55" s="87"/>
      <c r="B55" s="88"/>
      <c r="C55" s="88"/>
      <c r="D55" s="8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thickBot="1">
      <c r="A56" s="87"/>
      <c r="B56" s="88"/>
      <c r="C56" s="158" t="s">
        <v>159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pans="1:15" ht="15.75" thickBot="1">
      <c r="A57" s="87"/>
      <c r="B57" s="88"/>
      <c r="C57" s="108" t="s">
        <v>14</v>
      </c>
      <c r="D57" s="108" t="s">
        <v>15</v>
      </c>
      <c r="E57" s="108" t="s">
        <v>16</v>
      </c>
      <c r="F57" s="108" t="s">
        <v>17</v>
      </c>
      <c r="G57" s="108" t="s">
        <v>18</v>
      </c>
      <c r="H57" s="108" t="s">
        <v>19</v>
      </c>
      <c r="I57" s="108" t="s">
        <v>20</v>
      </c>
      <c r="J57" s="108" t="s">
        <v>21</v>
      </c>
      <c r="K57" s="108" t="s">
        <v>22</v>
      </c>
      <c r="L57" s="108" t="s">
        <v>23</v>
      </c>
      <c r="M57" s="108" t="s">
        <v>24</v>
      </c>
      <c r="N57" s="108" t="s">
        <v>25</v>
      </c>
      <c r="O57" s="108" t="s">
        <v>26</v>
      </c>
    </row>
    <row r="58" spans="1:15" ht="52.5" thickBot="1">
      <c r="A58" s="87"/>
      <c r="B58" s="88"/>
      <c r="C58" s="112" t="s">
        <v>1</v>
      </c>
      <c r="D58" s="112" t="s">
        <v>2</v>
      </c>
      <c r="E58" s="112" t="s">
        <v>3</v>
      </c>
      <c r="F58" s="112" t="s">
        <v>4</v>
      </c>
      <c r="G58" s="112" t="s">
        <v>5</v>
      </c>
      <c r="H58" s="112" t="s">
        <v>6</v>
      </c>
      <c r="I58" s="112" t="s">
        <v>7</v>
      </c>
      <c r="J58" s="112" t="s">
        <v>8</v>
      </c>
      <c r="K58" s="104" t="s">
        <v>9</v>
      </c>
      <c r="L58" s="112" t="s">
        <v>10</v>
      </c>
      <c r="M58" s="112" t="s">
        <v>11</v>
      </c>
      <c r="N58" s="112" t="s">
        <v>12</v>
      </c>
      <c r="O58" s="112" t="s">
        <v>13</v>
      </c>
    </row>
    <row r="59" spans="1:15">
      <c r="A59" s="87"/>
      <c r="B59" s="88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>
      <c r="A60" s="87"/>
      <c r="B60" s="88"/>
      <c r="C60" s="88"/>
      <c r="D60" s="121">
        <f>0.18*K37*1000</f>
        <v>1183139.9999999998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157" t="s">
        <v>160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</row>
    <row r="62" spans="1:15">
      <c r="A62" s="16"/>
      <c r="B62" s="32"/>
      <c r="C62" s="32" t="s">
        <v>14</v>
      </c>
      <c r="D62" s="32" t="s">
        <v>15</v>
      </c>
      <c r="E62" s="32" t="s">
        <v>16</v>
      </c>
      <c r="F62" s="32" t="s">
        <v>17</v>
      </c>
      <c r="G62" s="32" t="s">
        <v>18</v>
      </c>
      <c r="H62" s="32" t="s">
        <v>19</v>
      </c>
      <c r="I62" s="32" t="s">
        <v>20</v>
      </c>
      <c r="J62" s="32" t="s">
        <v>21</v>
      </c>
      <c r="K62" s="32" t="s">
        <v>22</v>
      </c>
      <c r="L62" s="32" t="s">
        <v>23</v>
      </c>
      <c r="M62" s="32" t="s">
        <v>24</v>
      </c>
      <c r="N62" s="32" t="s">
        <v>25</v>
      </c>
      <c r="O62" s="32" t="s">
        <v>26</v>
      </c>
    </row>
    <row r="63" spans="1:15">
      <c r="A63" s="16" t="s">
        <v>161</v>
      </c>
      <c r="B63" s="27"/>
      <c r="C63" s="27">
        <f>M18</f>
        <v>1651600</v>
      </c>
      <c r="D63" s="27">
        <f>M37</f>
        <v>1945400</v>
      </c>
      <c r="E63" s="27">
        <f>F8</f>
        <v>53</v>
      </c>
      <c r="F63" s="27">
        <f>F9</f>
        <v>310</v>
      </c>
      <c r="G63" s="27">
        <f>F10</f>
        <v>400</v>
      </c>
      <c r="H63" s="27">
        <f>F4</f>
        <v>22</v>
      </c>
      <c r="I63" s="27">
        <f>F7</f>
        <v>103</v>
      </c>
      <c r="J63" s="27">
        <f>F6</f>
        <v>62</v>
      </c>
      <c r="K63" s="31"/>
      <c r="L63" s="27">
        <f>-H63</f>
        <v>-22</v>
      </c>
      <c r="M63" s="27">
        <f>-F63</f>
        <v>-310</v>
      </c>
      <c r="N63" s="27">
        <f>-F5</f>
        <v>-44</v>
      </c>
      <c r="O63" s="27">
        <f>-E63</f>
        <v>-53</v>
      </c>
    </row>
    <row r="64" spans="1:15">
      <c r="A64" s="16" t="s">
        <v>162</v>
      </c>
      <c r="B64" s="27"/>
      <c r="C64" s="27">
        <f>-0.18*K18*1000</f>
        <v>-1033379.9999999999</v>
      </c>
      <c r="D64" s="27">
        <f>-0.18*K37*1000</f>
        <v>-1183139.9999999998</v>
      </c>
      <c r="E64" s="27">
        <f>-0.18*C8</f>
        <v>-54</v>
      </c>
      <c r="F64" s="27">
        <f>-0.18*C9</f>
        <v>-154.79999999999998</v>
      </c>
      <c r="G64" s="27">
        <f>-0.18*C10</f>
        <v>-156.6</v>
      </c>
      <c r="H64" s="27">
        <f>-0.18*C4</f>
        <v>-158.4</v>
      </c>
      <c r="I64" s="117">
        <f>-0.18*C7</f>
        <v>-156.6</v>
      </c>
      <c r="J64" s="27">
        <f>-0.18*C6</f>
        <v>-162</v>
      </c>
      <c r="K64" s="31"/>
      <c r="L64" s="27">
        <f>-H64</f>
        <v>158.4</v>
      </c>
      <c r="M64" s="27">
        <f>-F64</f>
        <v>154.79999999999998</v>
      </c>
      <c r="N64" s="27">
        <f>0.18*C5</f>
        <v>154.79999999999998</v>
      </c>
      <c r="O64" s="27">
        <f>-E64</f>
        <v>54</v>
      </c>
    </row>
    <row r="65" spans="1:15">
      <c r="A65" s="16" t="s">
        <v>163</v>
      </c>
      <c r="B65" s="27"/>
      <c r="C65" s="31">
        <f>C63+C64</f>
        <v>618220.00000000012</v>
      </c>
      <c r="D65" s="118">
        <f>D63+D64</f>
        <v>762260.00000000023</v>
      </c>
      <c r="E65" s="118">
        <f>E63+E64</f>
        <v>-1</v>
      </c>
      <c r="F65" s="118">
        <f t="shared" ref="F65:O65" si="10">F63+F64</f>
        <v>155.20000000000002</v>
      </c>
      <c r="G65" s="118">
        <f t="shared" si="10"/>
        <v>243.4</v>
      </c>
      <c r="H65" s="118">
        <f t="shared" si="10"/>
        <v>-136.4</v>
      </c>
      <c r="I65" s="118">
        <f t="shared" si="10"/>
        <v>-53.599999999999994</v>
      </c>
      <c r="J65" s="118">
        <f t="shared" si="10"/>
        <v>-100</v>
      </c>
      <c r="K65" s="118"/>
      <c r="L65" s="118">
        <f t="shared" si="10"/>
        <v>136.4</v>
      </c>
      <c r="M65" s="118">
        <f t="shared" si="10"/>
        <v>-155.20000000000002</v>
      </c>
      <c r="N65" s="118">
        <f t="shared" si="10"/>
        <v>110.79999999999998</v>
      </c>
      <c r="O65" s="118">
        <f t="shared" si="10"/>
        <v>1</v>
      </c>
    </row>
    <row r="68" spans="1:15">
      <c r="A68" s="157" t="s">
        <v>164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70" spans="1:15">
      <c r="A70" s="16"/>
      <c r="B70" s="32"/>
      <c r="C70" s="32" t="s">
        <v>14</v>
      </c>
      <c r="D70" s="32" t="s">
        <v>15</v>
      </c>
      <c r="E70" s="32" t="s">
        <v>16</v>
      </c>
      <c r="F70" s="32" t="s">
        <v>17</v>
      </c>
      <c r="G70" s="32" t="s">
        <v>18</v>
      </c>
      <c r="H70" s="32" t="s">
        <v>19</v>
      </c>
      <c r="I70" s="32" t="s">
        <v>20</v>
      </c>
      <c r="J70" s="32" t="s">
        <v>21</v>
      </c>
      <c r="K70" s="32" t="s">
        <v>22</v>
      </c>
      <c r="L70" s="32" t="s">
        <v>23</v>
      </c>
      <c r="M70" s="32" t="s">
        <v>24</v>
      </c>
      <c r="N70" s="32" t="s">
        <v>25</v>
      </c>
      <c r="O70" s="32" t="s">
        <v>26</v>
      </c>
    </row>
    <row r="71" spans="1:15">
      <c r="A71" s="16" t="s">
        <v>161</v>
      </c>
      <c r="B71" s="27"/>
      <c r="C71" s="117">
        <f>M18</f>
        <v>1651600</v>
      </c>
      <c r="D71" s="117">
        <f>M37</f>
        <v>1945400</v>
      </c>
      <c r="E71" s="117">
        <f>F8</f>
        <v>53</v>
      </c>
      <c r="F71" s="117">
        <f>F9</f>
        <v>310</v>
      </c>
      <c r="G71" s="117">
        <f>F10</f>
        <v>400</v>
      </c>
      <c r="H71" s="117">
        <f>F4</f>
        <v>22</v>
      </c>
      <c r="I71" s="117">
        <f>F7</f>
        <v>103</v>
      </c>
      <c r="J71" s="117">
        <f>F6</f>
        <v>62</v>
      </c>
      <c r="K71" s="118"/>
      <c r="L71" s="117">
        <f t="shared" ref="D71:O71" si="11">L63</f>
        <v>-22</v>
      </c>
      <c r="M71" s="117">
        <f t="shared" si="11"/>
        <v>-310</v>
      </c>
      <c r="N71" s="117">
        <f t="shared" si="11"/>
        <v>-44</v>
      </c>
      <c r="O71" s="117">
        <f t="shared" si="11"/>
        <v>-53</v>
      </c>
    </row>
    <row r="72" spans="1:15">
      <c r="A72" s="16" t="s">
        <v>162</v>
      </c>
      <c r="B72" s="27"/>
      <c r="C72" s="27">
        <f>-0.22*K18*1000</f>
        <v>-1263020</v>
      </c>
      <c r="D72" s="27">
        <f>-0.22*K37*1000</f>
        <v>-1446060</v>
      </c>
      <c r="E72" s="27">
        <f>-0.22*C8</f>
        <v>-66</v>
      </c>
      <c r="F72" s="117">
        <f>-0.22*C9</f>
        <v>-189.2</v>
      </c>
      <c r="G72" s="117">
        <f>-0.22*C10</f>
        <v>-191.4</v>
      </c>
      <c r="H72" s="117">
        <f>-0.22*C4</f>
        <v>-193.6</v>
      </c>
      <c r="I72" s="117">
        <f>-0.22*C7</f>
        <v>-191.4</v>
      </c>
      <c r="J72" s="117">
        <f>-0.22*C6</f>
        <v>-198</v>
      </c>
      <c r="K72" s="138"/>
      <c r="L72" s="138">
        <f>-H72</f>
        <v>193.6</v>
      </c>
      <c r="M72" s="138">
        <f>-F72</f>
        <v>189.2</v>
      </c>
      <c r="N72" s="138">
        <f>0.22*C5</f>
        <v>189.2</v>
      </c>
      <c r="O72" s="138">
        <f>-E72</f>
        <v>66</v>
      </c>
    </row>
    <row r="73" spans="1:15">
      <c r="A73" s="16" t="s">
        <v>163</v>
      </c>
      <c r="B73" s="27"/>
      <c r="C73" s="31">
        <v>388580</v>
      </c>
      <c r="D73" s="31">
        <v>499340</v>
      </c>
      <c r="E73" s="31">
        <v>-13</v>
      </c>
      <c r="F73" s="31">
        <v>120.80000000000001</v>
      </c>
      <c r="G73" s="31">
        <v>208.6</v>
      </c>
      <c r="H73" s="31">
        <v>-171.6</v>
      </c>
      <c r="I73" s="31">
        <v>-88.4</v>
      </c>
      <c r="J73" s="31">
        <v>-136</v>
      </c>
      <c r="K73" s="31"/>
      <c r="L73" s="31">
        <v>171.6</v>
      </c>
      <c r="M73" s="31">
        <v>-120.80000000000001</v>
      </c>
      <c r="N73" s="31">
        <v>145.19999999999999</v>
      </c>
      <c r="O73" s="31">
        <v>13</v>
      </c>
    </row>
  </sheetData>
  <mergeCells count="28">
    <mergeCell ref="A68:O68"/>
    <mergeCell ref="A61:O61"/>
    <mergeCell ref="A46:F46"/>
    <mergeCell ref="A2:H2"/>
    <mergeCell ref="C56:O56"/>
    <mergeCell ref="A40:B40"/>
    <mergeCell ref="A51:F51"/>
    <mergeCell ref="A14:B14"/>
    <mergeCell ref="A13:M13"/>
    <mergeCell ref="A24:B24"/>
    <mergeCell ref="A15:B15"/>
    <mergeCell ref="A34:B34"/>
    <mergeCell ref="A35:B35"/>
    <mergeCell ref="A36:B36"/>
    <mergeCell ref="A37:B37"/>
    <mergeCell ref="A16:B16"/>
    <mergeCell ref="A18:B18"/>
    <mergeCell ref="A17:B17"/>
    <mergeCell ref="A33:B33"/>
    <mergeCell ref="A23:D23"/>
    <mergeCell ref="A32:M32"/>
    <mergeCell ref="A39:D39"/>
    <mergeCell ref="A48:B48"/>
    <mergeCell ref="A49:B49"/>
    <mergeCell ref="A53:B53"/>
    <mergeCell ref="A54:B54"/>
    <mergeCell ref="A52:B52"/>
    <mergeCell ref="A47:B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13" workbookViewId="0">
      <selection activeCell="J13" sqref="J13"/>
    </sheetView>
  </sheetViews>
  <sheetFormatPr defaultRowHeight="15"/>
  <cols>
    <col min="1" max="1" width="32" customWidth="1"/>
  </cols>
  <sheetData>
    <row r="1" spans="1:17">
      <c r="A1" s="4" t="s">
        <v>0</v>
      </c>
      <c r="B1" s="2">
        <f>SUMPRODUCT(B4:N4,B6:N6)</f>
        <v>50467.772237101788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1.75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1"/>
      <c r="Q2" s="1"/>
    </row>
    <row r="3" spans="1:17">
      <c r="A3" s="1"/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1"/>
      <c r="P3" s="1"/>
      <c r="Q3" s="1"/>
    </row>
    <row r="4" spans="1:17">
      <c r="A4" s="1"/>
      <c r="B4" s="13">
        <v>4.4089864735759203</v>
      </c>
      <c r="C4" s="13">
        <v>30.591013526424543</v>
      </c>
      <c r="D4" s="14">
        <v>0</v>
      </c>
      <c r="E4" s="14">
        <v>0</v>
      </c>
      <c r="F4" s="15">
        <v>5250.5776008768735</v>
      </c>
      <c r="G4" s="15">
        <v>10473.161534491353</v>
      </c>
      <c r="H4" s="15">
        <v>30000.000000000106</v>
      </c>
      <c r="I4" s="15">
        <v>6964.1371557054808</v>
      </c>
      <c r="J4" s="14">
        <v>25</v>
      </c>
      <c r="K4" s="14">
        <v>0</v>
      </c>
      <c r="L4" s="15">
        <v>151991.41254848379</v>
      </c>
      <c r="M4" s="14">
        <v>0</v>
      </c>
      <c r="N4" s="14">
        <v>0</v>
      </c>
      <c r="O4" s="1"/>
      <c r="P4" s="1"/>
      <c r="Q4" s="1"/>
    </row>
    <row r="5" spans="1:17">
      <c r="A5" s="113" t="s">
        <v>177</v>
      </c>
    </row>
    <row r="6" spans="1:17">
      <c r="A6" s="1"/>
      <c r="B6" s="3">
        <v>-676</v>
      </c>
      <c r="C6" s="3">
        <v>-709</v>
      </c>
      <c r="D6" s="2">
        <v>-4.7E-2</v>
      </c>
      <c r="E6" s="2">
        <v>-0.14000000000000001</v>
      </c>
      <c r="F6" s="2">
        <v>-0.09</v>
      </c>
      <c r="G6" s="2">
        <v>-0.19</v>
      </c>
      <c r="H6" s="2">
        <v>-0.16</v>
      </c>
      <c r="I6" s="2">
        <v>-0.3</v>
      </c>
      <c r="J6" s="2">
        <v>2650</v>
      </c>
      <c r="K6" s="2">
        <v>0.17</v>
      </c>
      <c r="L6" s="2">
        <v>0.12</v>
      </c>
      <c r="M6" s="2">
        <v>0.17</v>
      </c>
      <c r="N6" s="2">
        <v>3.5000000000000003E-2</v>
      </c>
      <c r="O6" s="1"/>
      <c r="P6" s="1"/>
      <c r="Q6" s="1"/>
    </row>
    <row r="8" spans="1:17" ht="43.5" customHeight="1">
      <c r="A8" s="11" t="s">
        <v>27</v>
      </c>
      <c r="B8" s="117">
        <f>'Αρχικοι υπολογισμοι'!K16</f>
        <v>4472</v>
      </c>
      <c r="C8" s="117">
        <f>'Αρχικοι υπολογισμοι'!K34+'Αρχικοι υπολογισμοι'!K35</f>
        <v>6272</v>
      </c>
      <c r="D8" s="1">
        <f>'Αρχικοι υπολογισμοι'!C8/1000</f>
        <v>0.3</v>
      </c>
      <c r="E8" s="1">
        <f>'Αρχικοι υπολογισμοι'!C9/1000</f>
        <v>0.86</v>
      </c>
      <c r="F8" s="1">
        <f>'Αρχικοι υπολογισμοι'!C10/1000</f>
        <v>0.87</v>
      </c>
      <c r="G8" s="1"/>
      <c r="H8" s="1"/>
      <c r="I8" s="1"/>
      <c r="J8" s="117">
        <f>-7.15*365</f>
        <v>-2609.75</v>
      </c>
      <c r="K8" s="1"/>
      <c r="L8" s="1">
        <f>-'Αρχικοι υπολογισμοι'!C9/1000</f>
        <v>-0.86</v>
      </c>
      <c r="M8" s="1"/>
      <c r="N8" s="1">
        <f>-'Αρχικοι υπολογισμοι'!C8/1000</f>
        <v>-0.3</v>
      </c>
      <c r="O8" s="1" t="s">
        <v>28</v>
      </c>
      <c r="P8" s="1">
        <f>SUMPRODUCT(B8:N8,$B$4:$N$4)</f>
        <v>20195.462068633089</v>
      </c>
      <c r="Q8" s="1">
        <v>0</v>
      </c>
    </row>
    <row r="9" spans="1:17" ht="39" customHeight="1">
      <c r="A9" s="11" t="s">
        <v>29</v>
      </c>
      <c r="B9" s="1">
        <f>'Αρχικοι υπολογισμοι'!G16</f>
        <v>19240</v>
      </c>
      <c r="C9" s="1">
        <f>'Αρχικοι υπολογισμοι'!G34+'Αρχικοι υπολογισμοι'!G35</f>
        <v>32140</v>
      </c>
      <c r="D9" s="1">
        <f>'Αρχικοι υπολογισμοι'!E8</f>
        <v>2.15</v>
      </c>
      <c r="E9" s="1">
        <f>'Αρχικοι υπολογισμοι'!E9</f>
        <v>3.7</v>
      </c>
      <c r="F9" s="1">
        <f>'Αρχικοι υπολογισμοι'!E10</f>
        <v>2.86</v>
      </c>
      <c r="G9" s="1"/>
      <c r="H9" s="1"/>
      <c r="I9" s="1"/>
      <c r="J9" s="117">
        <f>-'Αρχικοι υπολογισμοι'!D53</f>
        <v>-20826.900000000001</v>
      </c>
      <c r="K9" s="1"/>
      <c r="L9" s="1">
        <f>-'Αρχικοι υπολογισμοι'!E9</f>
        <v>-3.7</v>
      </c>
      <c r="M9" s="1"/>
      <c r="N9" s="1">
        <f>-'Αρχικοι υπολογισμοι'!E8</f>
        <v>-2.15</v>
      </c>
      <c r="O9" s="1" t="s">
        <v>30</v>
      </c>
      <c r="P9" s="1">
        <f t="shared" ref="P9:P19" si="0">SUMPRODUCT(B9:N9,$B$4:$N$4)</f>
        <v>3.2596290111541748E-9</v>
      </c>
      <c r="Q9" s="1">
        <v>0</v>
      </c>
    </row>
    <row r="10" spans="1:17" ht="49.5" customHeight="1">
      <c r="A10" s="11" t="s">
        <v>31</v>
      </c>
      <c r="B10" s="1">
        <f>'Αρχικοι υπολογισμοι'!I16</f>
        <v>676000</v>
      </c>
      <c r="C10" s="1">
        <f>'Αρχικοι υπολογισμοι'!I34+'Αρχικοι υπολογισμοι'!I35</f>
        <v>838000</v>
      </c>
      <c r="D10" s="1">
        <f>'Αρχικοι υπολογισμοι'!D8</f>
        <v>27</v>
      </c>
      <c r="E10" s="1">
        <f>'Αρχικοι υπολογισμοι'!D9</f>
        <v>130</v>
      </c>
      <c r="F10" s="1">
        <f>'Αρχικοι υπολογισμοι'!D10</f>
        <v>25</v>
      </c>
      <c r="G10" s="1"/>
      <c r="H10" s="1"/>
      <c r="I10" s="1"/>
      <c r="J10" s="117">
        <f>-'Αρχικοι υπολογισμοι'!E53</f>
        <v>-359525</v>
      </c>
      <c r="K10" s="1"/>
      <c r="L10" s="1">
        <f>-'Αρχικοι υπολογισμοι'!D9</f>
        <v>-130</v>
      </c>
      <c r="M10" s="1"/>
      <c r="N10" s="1">
        <f>-'Αρχικοι υπολογισμοι'!D8</f>
        <v>-27</v>
      </c>
      <c r="O10" s="1" t="s">
        <v>30</v>
      </c>
      <c r="P10" s="1">
        <f t="shared" si="0"/>
        <v>1.1548399925231934E-7</v>
      </c>
      <c r="Q10" s="1">
        <v>0</v>
      </c>
    </row>
    <row r="11" spans="1:17" ht="72" customHeight="1">
      <c r="A11" s="11" t="s">
        <v>32</v>
      </c>
      <c r="B11" s="113">
        <f>'Αρχικοι υπολογισμοι'!M16</f>
        <v>1612000</v>
      </c>
      <c r="C11" s="1">
        <f>'Αρχικοι υπολογισμοι'!M34+'Αρχικοι υπολογισμοι'!M35</f>
        <v>1930000</v>
      </c>
      <c r="D11" s="1">
        <f>'Αρχικοι υπολογισμοι'!F8</f>
        <v>53</v>
      </c>
      <c r="E11" s="1">
        <f>'Αρχικοι υπολογισμοι'!F9</f>
        <v>310</v>
      </c>
      <c r="F11" s="1">
        <f>'Αρχικοι υπολογισμοι'!F10</f>
        <v>400</v>
      </c>
      <c r="G11" s="1"/>
      <c r="H11" s="1"/>
      <c r="I11" s="1"/>
      <c r="J11" s="117">
        <f>-'Αρχικοι υπολογισμοι'!F53</f>
        <v>-574145</v>
      </c>
      <c r="K11" s="1"/>
      <c r="L11" s="1">
        <f>-'Αρχικοι υπολογισμοι'!F9</f>
        <v>-310</v>
      </c>
      <c r="M11" s="1"/>
      <c r="N11" s="1">
        <f>-'Αρχικοι υπολογισμοι'!F8</f>
        <v>-53</v>
      </c>
      <c r="O11" s="1" t="s">
        <v>28</v>
      </c>
      <c r="P11" s="1">
        <f t="shared" si="0"/>
        <v>6777210.4517245218</v>
      </c>
      <c r="Q11" s="1">
        <v>0</v>
      </c>
    </row>
    <row r="12" spans="1:17" ht="50.25" customHeight="1">
      <c r="A12" s="11" t="s">
        <v>33</v>
      </c>
      <c r="B12" s="1">
        <f>'Αρχικοι υπολογισμοι'!G15+'Αρχικοι υπολογισμοι'!G17</f>
        <v>11900</v>
      </c>
      <c r="C12" s="1">
        <f>'Αρχικοι υπολογισμοι'!G36</f>
        <v>2660</v>
      </c>
      <c r="D12" s="1"/>
      <c r="E12" s="1"/>
      <c r="F12" s="1"/>
      <c r="G12" s="1">
        <f>'Αρχικοι υπολογισμοι'!E4</f>
        <v>8.4</v>
      </c>
      <c r="H12" s="1">
        <f>'Αρχικοι υπολογισμοι'!E7</f>
        <v>5.75</v>
      </c>
      <c r="I12" s="1">
        <f>'Αρχικοι υπολογισμοι'!E6</f>
        <v>7.35</v>
      </c>
      <c r="J12" s="117">
        <f>-'Αρχικοι υπολογισμοι'!D54</f>
        <v>-17820</v>
      </c>
      <c r="K12" s="1">
        <f>-'Αρχικοι υπολογισμοι'!E4</f>
        <v>-8.4</v>
      </c>
      <c r="L12" s="1"/>
      <c r="M12" s="1">
        <f>-'Αρχικοι υπολογισμοι'!E5</f>
        <v>-7.6</v>
      </c>
      <c r="N12" s="1"/>
      <c r="O12" s="1" t="s">
        <v>30</v>
      </c>
      <c r="P12" s="1">
        <f t="shared" si="0"/>
        <v>5.9953890740871429E-9</v>
      </c>
      <c r="Q12" s="1">
        <v>0</v>
      </c>
    </row>
    <row r="13" spans="1:17" ht="69.75" customHeight="1">
      <c r="A13" s="11" t="s">
        <v>34</v>
      </c>
      <c r="B13" s="1">
        <f>'Αρχικοι υπολογισμοι'!I15+'Αρχικοι υπολογισμοι'!I17</f>
        <v>130600</v>
      </c>
      <c r="C13" s="1">
        <f>'Αρχικοι υπολογισμοι'!I36</f>
        <v>37100</v>
      </c>
      <c r="D13" s="1"/>
      <c r="E13" s="1"/>
      <c r="F13" s="1"/>
      <c r="G13" s="1">
        <f>'Αρχικοι υπολογισμοι'!D4</f>
        <v>85</v>
      </c>
      <c r="H13" s="1">
        <f>'Αρχικοι υπολογισμοι'!D7</f>
        <v>160</v>
      </c>
      <c r="I13" s="1">
        <f>'Αρχικοι υπολογισμοι'!D6</f>
        <v>445</v>
      </c>
      <c r="J13" s="117">
        <f>-'Αρχικοι υπολογισμοι'!E54</f>
        <v>-420000</v>
      </c>
      <c r="K13" s="1">
        <f>-'Αρχικοι υπολογισμοι'!D4</f>
        <v>-85</v>
      </c>
      <c r="L13" s="1"/>
      <c r="M13" s="1">
        <f>-'Αρχικοι υπολογισμοι'!D5</f>
        <v>-106</v>
      </c>
      <c r="N13" s="1"/>
      <c r="O13" s="1" t="s">
        <v>30</v>
      </c>
      <c r="P13" s="1">
        <f t="shared" si="0"/>
        <v>8.5681676864624023E-8</v>
      </c>
      <c r="Q13" s="1">
        <v>0</v>
      </c>
    </row>
    <row r="14" spans="1:17" ht="82.5" customHeight="1">
      <c r="A14" s="11" t="s">
        <v>35</v>
      </c>
      <c r="B14" s="10">
        <f>'Αρχικοι υπολογισμοι'!C65</f>
        <v>618220.00000000012</v>
      </c>
      <c r="C14" s="119">
        <f>'Αρχικοι υπολογισμοι'!D65</f>
        <v>762260.00000000023</v>
      </c>
      <c r="D14" s="119">
        <f>'Αρχικοι υπολογισμοι'!E65</f>
        <v>-1</v>
      </c>
      <c r="E14" s="119">
        <f>'Αρχικοι υπολογισμοι'!F65</f>
        <v>155.20000000000002</v>
      </c>
      <c r="F14" s="119">
        <f>'Αρχικοι υπολογισμοι'!G65</f>
        <v>243.4</v>
      </c>
      <c r="G14" s="119">
        <f>'Αρχικοι υπολογισμοι'!H65</f>
        <v>-136.4</v>
      </c>
      <c r="H14" s="119">
        <f>'Αρχικοι υπολογισμοι'!I65</f>
        <v>-53.599999999999994</v>
      </c>
      <c r="I14" s="119">
        <f>'Αρχικοι υπολογισμοι'!J65</f>
        <v>-100</v>
      </c>
      <c r="J14" s="119">
        <f>'Αρχικοι υπολογισμοι'!K65</f>
        <v>0</v>
      </c>
      <c r="K14" s="119">
        <f>'Αρχικοι υπολογισμοι'!L65</f>
        <v>136.4</v>
      </c>
      <c r="L14" s="119">
        <f>'Αρχικοι υπολογισμοι'!M65</f>
        <v>-155.20000000000002</v>
      </c>
      <c r="M14" s="119">
        <f>'Αρχικοι υπολογισμοι'!N65</f>
        <v>110.79999999999998</v>
      </c>
      <c r="N14" s="119">
        <f>'Αρχικοι υπολογισμοι'!O65</f>
        <v>1</v>
      </c>
      <c r="O14" s="1" t="s">
        <v>28</v>
      </c>
      <c r="P14" s="1">
        <f t="shared" si="0"/>
        <v>5.5879354476928711E-8</v>
      </c>
      <c r="Q14" s="10">
        <v>0</v>
      </c>
    </row>
    <row r="15" spans="1:17" ht="82.5" customHeight="1">
      <c r="A15" s="11" t="s">
        <v>36</v>
      </c>
      <c r="B15" s="10">
        <f>'Αρχικοι υπολογισμοι'!C73</f>
        <v>388580</v>
      </c>
      <c r="C15" s="119">
        <f>'Αρχικοι υπολογισμοι'!D73</f>
        <v>499340</v>
      </c>
      <c r="D15" s="119">
        <f>'Αρχικοι υπολογισμοι'!E73</f>
        <v>-13</v>
      </c>
      <c r="E15" s="119">
        <f>'Αρχικοι υπολογισμοι'!F73</f>
        <v>120.80000000000001</v>
      </c>
      <c r="F15" s="119">
        <f>'Αρχικοι υπολογισμοι'!G73</f>
        <v>208.6</v>
      </c>
      <c r="G15" s="119">
        <f>'Αρχικοι υπολογισμοι'!H73</f>
        <v>-171.6</v>
      </c>
      <c r="H15" s="119">
        <f>'Αρχικοι υπολογισμοι'!I73</f>
        <v>-88.4</v>
      </c>
      <c r="I15" s="119">
        <f>'Αρχικοι υπολογισμοι'!J73</f>
        <v>-136</v>
      </c>
      <c r="J15" s="119">
        <f>'Αρχικοι υπολογισμοι'!K73</f>
        <v>0</v>
      </c>
      <c r="K15" s="119">
        <f>'Αρχικοι υπολογισμοι'!L73</f>
        <v>171.6</v>
      </c>
      <c r="L15" s="119">
        <f>'Αρχικοι υπολογισμοι'!M73</f>
        <v>-120.80000000000001</v>
      </c>
      <c r="M15" s="119">
        <f>'Αρχικοι υπολογισμοι'!N73</f>
        <v>145.19999999999999</v>
      </c>
      <c r="N15" s="119">
        <f>'Αρχικοι υπολογισμοι'!O73</f>
        <v>13</v>
      </c>
      <c r="O15" s="1" t="s">
        <v>37</v>
      </c>
      <c r="P15" s="1">
        <f t="shared" si="0"/>
        <v>-5673048.6626216359</v>
      </c>
      <c r="Q15" s="10">
        <v>0</v>
      </c>
    </row>
    <row r="16" spans="1:17" ht="60" customHeight="1">
      <c r="A16" s="11" t="s">
        <v>180</v>
      </c>
      <c r="B16" s="10"/>
      <c r="C16" s="10"/>
      <c r="D16" s="10"/>
      <c r="E16" s="10"/>
      <c r="F16" s="10"/>
      <c r="G16" s="10"/>
      <c r="H16" s="10">
        <v>1</v>
      </c>
      <c r="I16" s="10"/>
      <c r="J16" s="10">
        <f>-4*300</f>
        <v>-1200</v>
      </c>
      <c r="K16" s="10"/>
      <c r="L16" s="10"/>
      <c r="M16" s="10"/>
      <c r="N16" s="10"/>
      <c r="O16" s="1" t="s">
        <v>37</v>
      </c>
      <c r="P16" s="1">
        <f t="shared" si="0"/>
        <v>1.0550138540565968E-10</v>
      </c>
      <c r="Q16" s="10">
        <v>0</v>
      </c>
    </row>
    <row r="17" spans="1:17" ht="32.25" customHeight="1">
      <c r="A17" s="11" t="s">
        <v>174</v>
      </c>
      <c r="B17" s="10"/>
      <c r="C17" s="10"/>
      <c r="D17" s="10"/>
      <c r="E17" s="10"/>
      <c r="F17" s="10">
        <v>1</v>
      </c>
      <c r="G17" s="10"/>
      <c r="H17" s="10"/>
      <c r="I17" s="10"/>
      <c r="J17" s="10">
        <f>-4*365</f>
        <v>-1460</v>
      </c>
      <c r="K17" s="10"/>
      <c r="L17" s="10"/>
      <c r="M17" s="10"/>
      <c r="N17" s="10"/>
      <c r="O17" s="1" t="s">
        <v>37</v>
      </c>
      <c r="P17" s="1">
        <f t="shared" si="0"/>
        <v>-31249.422399123127</v>
      </c>
      <c r="Q17" s="10">
        <v>0</v>
      </c>
    </row>
    <row r="18" spans="1:17">
      <c r="A18" s="12" t="s">
        <v>38</v>
      </c>
      <c r="B18" s="1"/>
      <c r="C18" s="1"/>
      <c r="D18" s="1"/>
      <c r="E18" s="1"/>
      <c r="F18" s="1"/>
      <c r="G18" s="1"/>
      <c r="H18" s="1"/>
      <c r="I18" s="1"/>
      <c r="J18" s="1">
        <v>1</v>
      </c>
      <c r="K18" s="1"/>
      <c r="L18" s="1"/>
      <c r="M18" s="1"/>
      <c r="N18" s="1"/>
      <c r="O18" s="1" t="s">
        <v>37</v>
      </c>
      <c r="P18" s="1">
        <f t="shared" si="0"/>
        <v>25</v>
      </c>
      <c r="Q18" s="1">
        <v>25</v>
      </c>
    </row>
    <row r="19" spans="1:17" ht="16.5" customHeight="1">
      <c r="A19" s="11" t="s">
        <v>39</v>
      </c>
      <c r="B19" s="1">
        <v>6</v>
      </c>
      <c r="C19" s="1">
        <v>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37</v>
      </c>
      <c r="P19" s="1">
        <f t="shared" si="0"/>
        <v>210.00000000000279</v>
      </c>
      <c r="Q19" s="1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showGridLines="0" workbookViewId="0"/>
  </sheetViews>
  <sheetFormatPr defaultRowHeight="15"/>
  <cols>
    <col min="1" max="1" width="2.28515625" customWidth="1"/>
    <col min="2" max="2" width="6.140625" bestFit="1" customWidth="1"/>
    <col min="3" max="3" width="6.28515625" customWidth="1"/>
    <col min="4" max="5" width="13.7109375" bestFit="1" customWidth="1"/>
    <col min="6" max="6" width="11.42578125" bestFit="1" customWidth="1"/>
    <col min="7" max="7" width="12" bestFit="1" customWidth="1"/>
  </cols>
  <sheetData>
    <row r="1" spans="1:5">
      <c r="A1" s="125" t="s">
        <v>40</v>
      </c>
    </row>
    <row r="2" spans="1:5">
      <c r="A2" s="125" t="s">
        <v>175</v>
      </c>
    </row>
    <row r="3" spans="1:5">
      <c r="A3" s="125" t="s">
        <v>176</v>
      </c>
    </row>
    <row r="6" spans="1:5" ht="15.75" thickBot="1">
      <c r="A6" s="113" t="s">
        <v>41</v>
      </c>
    </row>
    <row r="7" spans="1:5" ht="15.75" thickBot="1">
      <c r="B7" s="130" t="s">
        <v>42</v>
      </c>
      <c r="C7" s="130" t="s">
        <v>43</v>
      </c>
      <c r="D7" s="130" t="s">
        <v>44</v>
      </c>
      <c r="E7" s="130" t="s">
        <v>45</v>
      </c>
    </row>
    <row r="8" spans="1:5" ht="15.75" thickBot="1">
      <c r="B8" s="6" t="s">
        <v>52</v>
      </c>
      <c r="C8" s="6" t="s">
        <v>0</v>
      </c>
      <c r="D8" s="8">
        <v>0</v>
      </c>
      <c r="E8" s="8">
        <v>50467.772237101788</v>
      </c>
    </row>
    <row r="11" spans="1:5" ht="15.75" thickBot="1">
      <c r="A11" s="113" t="s">
        <v>46</v>
      </c>
    </row>
    <row r="12" spans="1:5" ht="15.75" thickBot="1">
      <c r="B12" s="130" t="s">
        <v>42</v>
      </c>
      <c r="C12" s="130" t="s">
        <v>43</v>
      </c>
      <c r="D12" s="130" t="s">
        <v>44</v>
      </c>
      <c r="E12" s="130" t="s">
        <v>45</v>
      </c>
    </row>
    <row r="13" spans="1:5">
      <c r="B13" s="7" t="s">
        <v>53</v>
      </c>
      <c r="C13" s="7" t="s">
        <v>14</v>
      </c>
      <c r="D13" s="131">
        <v>0</v>
      </c>
      <c r="E13" s="131">
        <v>4.4089864735759203</v>
      </c>
    </row>
    <row r="14" spans="1:5">
      <c r="B14" s="7" t="s">
        <v>54</v>
      </c>
      <c r="C14" s="7" t="s">
        <v>15</v>
      </c>
      <c r="D14" s="131">
        <v>0</v>
      </c>
      <c r="E14" s="131">
        <v>30.591013526424543</v>
      </c>
    </row>
    <row r="15" spans="1:5">
      <c r="B15" s="7" t="s">
        <v>55</v>
      </c>
      <c r="C15" s="7" t="s">
        <v>16</v>
      </c>
      <c r="D15" s="9">
        <v>0</v>
      </c>
      <c r="E15" s="9">
        <v>0</v>
      </c>
    </row>
    <row r="16" spans="1:5">
      <c r="B16" s="7" t="s">
        <v>56</v>
      </c>
      <c r="C16" s="7" t="s">
        <v>17</v>
      </c>
      <c r="D16" s="9">
        <v>0</v>
      </c>
      <c r="E16" s="9">
        <v>0</v>
      </c>
    </row>
    <row r="17" spans="1:7">
      <c r="B17" s="7" t="s">
        <v>57</v>
      </c>
      <c r="C17" s="7" t="s">
        <v>18</v>
      </c>
      <c r="D17" s="132">
        <v>0</v>
      </c>
      <c r="E17" s="132">
        <v>5250.5776008768735</v>
      </c>
    </row>
    <row r="18" spans="1:7">
      <c r="B18" s="7" t="s">
        <v>58</v>
      </c>
      <c r="C18" s="7" t="s">
        <v>19</v>
      </c>
      <c r="D18" s="132">
        <v>0</v>
      </c>
      <c r="E18" s="132">
        <v>10473.161534491353</v>
      </c>
    </row>
    <row r="19" spans="1:7">
      <c r="B19" s="7" t="s">
        <v>59</v>
      </c>
      <c r="C19" s="7" t="s">
        <v>20</v>
      </c>
      <c r="D19" s="132">
        <v>0</v>
      </c>
      <c r="E19" s="132">
        <v>30000.000000000106</v>
      </c>
    </row>
    <row r="20" spans="1:7">
      <c r="B20" s="7" t="s">
        <v>60</v>
      </c>
      <c r="C20" s="7" t="s">
        <v>21</v>
      </c>
      <c r="D20" s="132">
        <v>0</v>
      </c>
      <c r="E20" s="132">
        <v>6964.1371557054808</v>
      </c>
    </row>
    <row r="21" spans="1:7">
      <c r="B21" s="7" t="s">
        <v>61</v>
      </c>
      <c r="C21" s="7" t="s">
        <v>22</v>
      </c>
      <c r="D21" s="9">
        <v>0</v>
      </c>
      <c r="E21" s="9">
        <v>25</v>
      </c>
    </row>
    <row r="22" spans="1:7">
      <c r="B22" s="7" t="s">
        <v>62</v>
      </c>
      <c r="C22" s="7" t="s">
        <v>23</v>
      </c>
      <c r="D22" s="9">
        <v>0</v>
      </c>
      <c r="E22" s="9">
        <v>0</v>
      </c>
    </row>
    <row r="23" spans="1:7">
      <c r="B23" s="7" t="s">
        <v>63</v>
      </c>
      <c r="C23" s="7" t="s">
        <v>24</v>
      </c>
      <c r="D23" s="132">
        <v>0</v>
      </c>
      <c r="E23" s="132">
        <v>151991.41254848379</v>
      </c>
    </row>
    <row r="24" spans="1:7">
      <c r="B24" s="7" t="s">
        <v>64</v>
      </c>
      <c r="C24" s="7" t="s">
        <v>25</v>
      </c>
      <c r="D24" s="9">
        <v>0</v>
      </c>
      <c r="E24" s="9">
        <v>0</v>
      </c>
    </row>
    <row r="25" spans="1:7" ht="15.75" thickBot="1">
      <c r="B25" s="6" t="s">
        <v>65</v>
      </c>
      <c r="C25" s="6" t="s">
        <v>26</v>
      </c>
      <c r="D25" s="8">
        <v>0</v>
      </c>
      <c r="E25" s="8">
        <v>0</v>
      </c>
    </row>
    <row r="28" spans="1:7" ht="15.75" thickBot="1">
      <c r="A28" s="113" t="s">
        <v>47</v>
      </c>
    </row>
    <row r="29" spans="1:7" ht="15.75" thickBot="1">
      <c r="B29" s="130" t="s">
        <v>42</v>
      </c>
      <c r="C29" s="130" t="s">
        <v>43</v>
      </c>
      <c r="D29" s="130" t="s">
        <v>48</v>
      </c>
      <c r="E29" s="130" t="s">
        <v>49</v>
      </c>
      <c r="F29" s="130" t="s">
        <v>50</v>
      </c>
      <c r="G29" s="130" t="s">
        <v>51</v>
      </c>
    </row>
    <row r="30" spans="1:7">
      <c r="B30" s="7" t="s">
        <v>86</v>
      </c>
      <c r="C30" s="7" t="s">
        <v>28</v>
      </c>
      <c r="D30" s="9">
        <v>20195.462068633089</v>
      </c>
      <c r="E30" s="7" t="s">
        <v>87</v>
      </c>
      <c r="F30" s="7" t="s">
        <v>68</v>
      </c>
      <c r="G30" s="9">
        <v>20195.462068633089</v>
      </c>
    </row>
    <row r="31" spans="1:7">
      <c r="B31" s="7" t="s">
        <v>88</v>
      </c>
      <c r="C31" s="7" t="s">
        <v>30</v>
      </c>
      <c r="D31" s="9">
        <v>3.2596290111541748E-9</v>
      </c>
      <c r="E31" s="7" t="s">
        <v>89</v>
      </c>
      <c r="F31" s="7" t="s">
        <v>68</v>
      </c>
      <c r="G31" s="7">
        <v>0</v>
      </c>
    </row>
    <row r="32" spans="1:7">
      <c r="B32" s="7" t="s">
        <v>90</v>
      </c>
      <c r="C32" s="7" t="s">
        <v>30</v>
      </c>
      <c r="D32" s="9">
        <v>1.1548399925231934E-7</v>
      </c>
      <c r="E32" s="7" t="s">
        <v>91</v>
      </c>
      <c r="F32" s="7" t="s">
        <v>68</v>
      </c>
      <c r="G32" s="7">
        <v>0</v>
      </c>
    </row>
    <row r="33" spans="2:7">
      <c r="B33" s="7" t="s">
        <v>78</v>
      </c>
      <c r="C33" s="7" t="s">
        <v>28</v>
      </c>
      <c r="D33" s="9">
        <v>21116481.826724522</v>
      </c>
      <c r="E33" s="7" t="s">
        <v>79</v>
      </c>
      <c r="F33" s="7" t="s">
        <v>68</v>
      </c>
      <c r="G33" s="9">
        <v>21116481.826724522</v>
      </c>
    </row>
    <row r="34" spans="2:7">
      <c r="B34" s="7" t="s">
        <v>80</v>
      </c>
      <c r="C34" s="7" t="s">
        <v>30</v>
      </c>
      <c r="D34" s="9">
        <v>5.9953890740871429E-9</v>
      </c>
      <c r="E34" s="7" t="s">
        <v>81</v>
      </c>
      <c r="F34" s="7" t="s">
        <v>68</v>
      </c>
      <c r="G34" s="7">
        <v>0</v>
      </c>
    </row>
    <row r="35" spans="2:7">
      <c r="B35" s="7" t="s">
        <v>82</v>
      </c>
      <c r="C35" s="7" t="s">
        <v>30</v>
      </c>
      <c r="D35" s="9">
        <v>8.5681676864624023E-8</v>
      </c>
      <c r="E35" s="7" t="s">
        <v>83</v>
      </c>
      <c r="F35" s="7" t="s">
        <v>68</v>
      </c>
      <c r="G35" s="7">
        <v>0</v>
      </c>
    </row>
    <row r="36" spans="2:7">
      <c r="B36" s="7" t="s">
        <v>84</v>
      </c>
      <c r="C36" s="7" t="s">
        <v>28</v>
      </c>
      <c r="D36" s="9">
        <v>5.5879354476928711E-8</v>
      </c>
      <c r="E36" s="7" t="s">
        <v>85</v>
      </c>
      <c r="F36" s="7" t="s">
        <v>71</v>
      </c>
      <c r="G36" s="9">
        <v>0</v>
      </c>
    </row>
    <row r="37" spans="2:7">
      <c r="B37" s="7" t="s">
        <v>66</v>
      </c>
      <c r="C37" s="7" t="s">
        <v>37</v>
      </c>
      <c r="D37" s="9">
        <v>-5673048.6626216359</v>
      </c>
      <c r="E37" s="7" t="s">
        <v>67</v>
      </c>
      <c r="F37" s="7" t="s">
        <v>68</v>
      </c>
      <c r="G37" s="7">
        <v>5673048.6626216359</v>
      </c>
    </row>
    <row r="38" spans="2:7">
      <c r="B38" s="7" t="s">
        <v>69</v>
      </c>
      <c r="C38" s="7" t="s">
        <v>37</v>
      </c>
      <c r="D38" s="9">
        <v>1.0550138540565968E-10</v>
      </c>
      <c r="E38" s="7" t="s">
        <v>70</v>
      </c>
      <c r="F38" s="7" t="s">
        <v>71</v>
      </c>
      <c r="G38" s="7">
        <v>0</v>
      </c>
    </row>
    <row r="39" spans="2:7">
      <c r="B39" s="7" t="s">
        <v>72</v>
      </c>
      <c r="C39" s="7" t="s">
        <v>37</v>
      </c>
      <c r="D39" s="9">
        <v>-31249.422399123127</v>
      </c>
      <c r="E39" s="7" t="s">
        <v>73</v>
      </c>
      <c r="F39" s="7" t="s">
        <v>68</v>
      </c>
      <c r="G39" s="7">
        <v>31249.422399123127</v>
      </c>
    </row>
    <row r="40" spans="2:7">
      <c r="B40" s="7" t="s">
        <v>74</v>
      </c>
      <c r="C40" s="7" t="s">
        <v>37</v>
      </c>
      <c r="D40" s="9">
        <v>25</v>
      </c>
      <c r="E40" s="7" t="s">
        <v>75</v>
      </c>
      <c r="F40" s="7" t="s">
        <v>71</v>
      </c>
      <c r="G40" s="7">
        <v>0</v>
      </c>
    </row>
    <row r="41" spans="2:7" ht="15.75" thickBot="1">
      <c r="B41" s="6" t="s">
        <v>76</v>
      </c>
      <c r="C41" s="6" t="s">
        <v>37</v>
      </c>
      <c r="D41" s="8">
        <v>210.00000000000279</v>
      </c>
      <c r="E41" s="6" t="s">
        <v>77</v>
      </c>
      <c r="F41" s="6" t="s">
        <v>71</v>
      </c>
      <c r="G41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showGridLines="0" topLeftCell="A16" workbookViewId="0">
      <selection activeCell="B36" sqref="B36:H37"/>
    </sheetView>
  </sheetViews>
  <sheetFormatPr defaultRowHeight="15"/>
  <cols>
    <col min="1" max="1" width="2.28515625" customWidth="1"/>
    <col min="2" max="2" width="6.140625" bestFit="1" customWidth="1"/>
    <col min="3" max="3" width="6.28515625" customWidth="1"/>
    <col min="4" max="5" width="12.7109375" bestFit="1" customWidth="1"/>
    <col min="6" max="6" width="10.85546875" bestFit="1" customWidth="1"/>
    <col min="7" max="8" width="12" bestFit="1" customWidth="1"/>
  </cols>
  <sheetData>
    <row r="1" spans="1:8">
      <c r="A1" s="125" t="s">
        <v>92</v>
      </c>
    </row>
    <row r="2" spans="1:8">
      <c r="A2" s="125" t="s">
        <v>175</v>
      </c>
    </row>
    <row r="3" spans="1:8">
      <c r="A3" s="125" t="s">
        <v>176</v>
      </c>
    </row>
    <row r="6" spans="1:8" ht="15.75" thickBot="1">
      <c r="A6" s="113" t="s">
        <v>46</v>
      </c>
    </row>
    <row r="7" spans="1:8">
      <c r="B7" s="133"/>
      <c r="C7" s="133"/>
      <c r="D7" s="133" t="s">
        <v>93</v>
      </c>
      <c r="E7" s="133" t="s">
        <v>95</v>
      </c>
      <c r="F7" s="133" t="s">
        <v>97</v>
      </c>
      <c r="G7" s="133" t="s">
        <v>99</v>
      </c>
      <c r="H7" s="133" t="s">
        <v>99</v>
      </c>
    </row>
    <row r="8" spans="1:8" ht="15.75" thickBot="1">
      <c r="B8" s="134" t="s">
        <v>42</v>
      </c>
      <c r="C8" s="134" t="s">
        <v>43</v>
      </c>
      <c r="D8" s="134" t="s">
        <v>94</v>
      </c>
      <c r="E8" s="134" t="s">
        <v>96</v>
      </c>
      <c r="F8" s="134" t="s">
        <v>98</v>
      </c>
      <c r="G8" s="134" t="s">
        <v>100</v>
      </c>
      <c r="H8" s="134" t="s">
        <v>101</v>
      </c>
    </row>
    <row r="9" spans="1:8">
      <c r="B9" s="7" t="s">
        <v>53</v>
      </c>
      <c r="C9" s="7" t="s">
        <v>14</v>
      </c>
      <c r="D9" s="131">
        <v>4.4089864735759203</v>
      </c>
      <c r="E9" s="131">
        <v>0</v>
      </c>
      <c r="F9" s="7">
        <v>-676</v>
      </c>
      <c r="G9" s="7">
        <v>40.000000000000227</v>
      </c>
      <c r="H9" s="7">
        <v>31.999999999999865</v>
      </c>
    </row>
    <row r="10" spans="1:8">
      <c r="B10" s="7" t="s">
        <v>54</v>
      </c>
      <c r="C10" s="7" t="s">
        <v>15</v>
      </c>
      <c r="D10" s="131">
        <v>30.591013526424543</v>
      </c>
      <c r="E10" s="131">
        <v>0</v>
      </c>
      <c r="F10" s="7">
        <v>-709</v>
      </c>
      <c r="G10" s="7">
        <v>31.999999999999876</v>
      </c>
      <c r="H10" s="7">
        <v>40.000000000000242</v>
      </c>
    </row>
    <row r="11" spans="1:8">
      <c r="B11" s="7" t="s">
        <v>55</v>
      </c>
      <c r="C11" s="7" t="s">
        <v>16</v>
      </c>
      <c r="D11" s="9">
        <v>0</v>
      </c>
      <c r="E11" s="9">
        <v>-6.6666666666667018E-3</v>
      </c>
      <c r="F11" s="7">
        <v>-4.7E-2</v>
      </c>
      <c r="G11" s="7">
        <v>6.6666666666667018E-3</v>
      </c>
      <c r="H11" s="7">
        <v>1E+30</v>
      </c>
    </row>
    <row r="12" spans="1:8">
      <c r="B12" s="7" t="s">
        <v>56</v>
      </c>
      <c r="C12" s="7" t="s">
        <v>17</v>
      </c>
      <c r="D12" s="9">
        <v>0</v>
      </c>
      <c r="E12" s="9">
        <v>-2.0000000000000011E-2</v>
      </c>
      <c r="F12" s="7">
        <v>-0.14000000000000001</v>
      </c>
      <c r="G12" s="7">
        <v>2.0000000000000011E-2</v>
      </c>
      <c r="H12" s="7">
        <v>1E+30</v>
      </c>
    </row>
    <row r="13" spans="1:8">
      <c r="B13" s="7" t="s">
        <v>57</v>
      </c>
      <c r="C13" s="7" t="s">
        <v>18</v>
      </c>
      <c r="D13" s="132">
        <v>5250.5776008768735</v>
      </c>
      <c r="E13" s="132">
        <v>0</v>
      </c>
      <c r="F13" s="7">
        <v>-0.09</v>
      </c>
      <c r="G13" s="7">
        <v>4.2958240534515815E-2</v>
      </c>
      <c r="H13" s="7">
        <v>7.4124311102769811</v>
      </c>
    </row>
    <row r="14" spans="1:8">
      <c r="B14" s="7" t="s">
        <v>58</v>
      </c>
      <c r="C14" s="7" t="s">
        <v>19</v>
      </c>
      <c r="D14" s="132">
        <v>10473.161534491353</v>
      </c>
      <c r="E14" s="132">
        <v>0</v>
      </c>
      <c r="F14" s="7">
        <v>-0.19</v>
      </c>
      <c r="G14" s="7">
        <v>1.7230835165769939E-2</v>
      </c>
      <c r="H14" s="7">
        <v>3.6363636363636556E-2</v>
      </c>
    </row>
    <row r="15" spans="1:8">
      <c r="B15" s="7" t="s">
        <v>59</v>
      </c>
      <c r="C15" s="7" t="s">
        <v>20</v>
      </c>
      <c r="D15" s="132">
        <v>30000.000000000106</v>
      </c>
      <c r="E15" s="132">
        <v>0</v>
      </c>
      <c r="F15" s="7">
        <v>-0.16</v>
      </c>
      <c r="G15" s="7">
        <v>5085600858190278</v>
      </c>
      <c r="H15" s="7">
        <v>1.2382510671744918E-2</v>
      </c>
    </row>
    <row r="16" spans="1:8">
      <c r="B16" s="7" t="s">
        <v>60</v>
      </c>
      <c r="C16" s="7" t="s">
        <v>21</v>
      </c>
      <c r="D16" s="132">
        <v>6964.1371557054808</v>
      </c>
      <c r="E16" s="132">
        <v>0</v>
      </c>
      <c r="F16" s="7">
        <v>-0.3</v>
      </c>
      <c r="G16" s="7">
        <v>4.5074365798082341E-2</v>
      </c>
      <c r="H16" s="7">
        <v>5.3895262308931082</v>
      </c>
    </row>
    <row r="17" spans="1:8">
      <c r="B17" s="7" t="s">
        <v>61</v>
      </c>
      <c r="C17" s="7" t="s">
        <v>22</v>
      </c>
      <c r="D17" s="9">
        <v>25</v>
      </c>
      <c r="E17" s="9">
        <v>0</v>
      </c>
      <c r="F17" s="7">
        <v>2650</v>
      </c>
      <c r="G17" s="7">
        <v>1E+30</v>
      </c>
      <c r="H17" s="7">
        <v>1708.6524981583627</v>
      </c>
    </row>
    <row r="18" spans="1:8">
      <c r="B18" s="7" t="s">
        <v>62</v>
      </c>
      <c r="C18" s="7" t="s">
        <v>23</v>
      </c>
      <c r="D18" s="9">
        <v>0</v>
      </c>
      <c r="E18" s="9">
        <v>-2.0000000000000018E-2</v>
      </c>
      <c r="F18" s="7">
        <v>0.17</v>
      </c>
      <c r="G18" s="7">
        <v>2.0000000000000018E-2</v>
      </c>
      <c r="H18" s="7">
        <v>1E+30</v>
      </c>
    </row>
    <row r="19" spans="1:8">
      <c r="B19" s="7" t="s">
        <v>63</v>
      </c>
      <c r="C19" s="7" t="s">
        <v>24</v>
      </c>
      <c r="D19" s="132">
        <v>151991.41254848379</v>
      </c>
      <c r="E19" s="132">
        <v>0</v>
      </c>
      <c r="F19" s="7">
        <v>0.12000000000000001</v>
      </c>
      <c r="G19" s="7">
        <v>2.0000000000000011E-2</v>
      </c>
      <c r="H19" s="7">
        <v>4.2574780194021847E-2</v>
      </c>
    </row>
    <row r="20" spans="1:8">
      <c r="B20" s="7" t="s">
        <v>64</v>
      </c>
      <c r="C20" s="7" t="s">
        <v>25</v>
      </c>
      <c r="D20" s="9">
        <v>0</v>
      </c>
      <c r="E20" s="9">
        <v>-1.4200798623912693E-2</v>
      </c>
      <c r="F20" s="7">
        <v>0.17</v>
      </c>
      <c r="G20" s="7">
        <v>1.4200798623912693E-2</v>
      </c>
      <c r="H20" s="7">
        <v>1E+30</v>
      </c>
    </row>
    <row r="21" spans="1:8" ht="15.75" thickBot="1">
      <c r="B21" s="6" t="s">
        <v>65</v>
      </c>
      <c r="C21" s="6" t="s">
        <v>26</v>
      </c>
      <c r="D21" s="8">
        <v>0</v>
      </c>
      <c r="E21" s="8">
        <v>-5.3333333333333089E-3</v>
      </c>
      <c r="F21" s="6">
        <v>3.5000000000000003E-2</v>
      </c>
      <c r="G21" s="6">
        <v>5.3333333333333089E-3</v>
      </c>
      <c r="H21" s="6">
        <v>1E+30</v>
      </c>
    </row>
    <row r="23" spans="1:8" ht="15.75" thickBot="1">
      <c r="A23" s="113" t="s">
        <v>47</v>
      </c>
    </row>
    <row r="24" spans="1:8">
      <c r="B24" s="133"/>
      <c r="C24" s="133"/>
      <c r="D24" s="133" t="s">
        <v>93</v>
      </c>
      <c r="E24" s="133" t="s">
        <v>102</v>
      </c>
      <c r="F24" s="133" t="s">
        <v>104</v>
      </c>
      <c r="G24" s="133" t="s">
        <v>99</v>
      </c>
      <c r="H24" s="133" t="s">
        <v>99</v>
      </c>
    </row>
    <row r="25" spans="1:8" ht="15.75" thickBot="1">
      <c r="B25" s="134" t="s">
        <v>42</v>
      </c>
      <c r="C25" s="134" t="s">
        <v>43</v>
      </c>
      <c r="D25" s="134" t="s">
        <v>94</v>
      </c>
      <c r="E25" s="134" t="s">
        <v>103</v>
      </c>
      <c r="F25" s="134" t="s">
        <v>105</v>
      </c>
      <c r="G25" s="134" t="s">
        <v>100</v>
      </c>
      <c r="H25" s="134" t="s">
        <v>101</v>
      </c>
    </row>
    <row r="26" spans="1:8">
      <c r="B26" s="7" t="s">
        <v>86</v>
      </c>
      <c r="C26" s="7" t="s">
        <v>28</v>
      </c>
      <c r="D26" s="9">
        <v>20195.462068633089</v>
      </c>
      <c r="E26" s="9">
        <v>0</v>
      </c>
      <c r="F26" s="7">
        <v>0</v>
      </c>
      <c r="G26" s="7">
        <v>20195.462068632314</v>
      </c>
      <c r="H26" s="7">
        <v>1E+30</v>
      </c>
    </row>
    <row r="27" spans="1:8">
      <c r="B27" s="7" t="s">
        <v>88</v>
      </c>
      <c r="C27" s="7" t="s">
        <v>30</v>
      </c>
      <c r="D27" s="9">
        <v>3.2596290111541748E-9</v>
      </c>
      <c r="E27" s="9">
        <v>-1.5050523040281667E-2</v>
      </c>
      <c r="F27" s="7">
        <v>0</v>
      </c>
      <c r="G27" s="7">
        <v>45391.963173701348</v>
      </c>
      <c r="H27" s="7">
        <v>57892.569177606267</v>
      </c>
    </row>
    <row r="28" spans="1:8">
      <c r="B28" s="7" t="s">
        <v>90</v>
      </c>
      <c r="C28" s="7" t="s">
        <v>30</v>
      </c>
      <c r="D28" s="9">
        <v>1.1548399925231934E-7</v>
      </c>
      <c r="E28" s="9">
        <v>-3.013581774843311E-4</v>
      </c>
      <c r="F28" s="7">
        <v>0</v>
      </c>
      <c r="G28" s="7">
        <v>741357.09252157877</v>
      </c>
      <c r="H28" s="7">
        <v>2759250.2904006089</v>
      </c>
    </row>
    <row r="29" spans="1:8">
      <c r="B29" s="7" t="s">
        <v>78</v>
      </c>
      <c r="C29" s="7" t="s">
        <v>28</v>
      </c>
      <c r="D29" s="9">
        <v>21116481.826724522</v>
      </c>
      <c r="E29" s="9">
        <v>0</v>
      </c>
      <c r="F29" s="7">
        <v>0</v>
      </c>
      <c r="G29" s="7">
        <v>21116481.826724246</v>
      </c>
      <c r="H29" s="7">
        <v>1E+30</v>
      </c>
    </row>
    <row r="30" spans="1:8">
      <c r="B30" s="7" t="s">
        <v>80</v>
      </c>
      <c r="C30" s="7" t="s">
        <v>30</v>
      </c>
      <c r="D30" s="9">
        <v>5.9953890740871429E-9</v>
      </c>
      <c r="E30" s="9">
        <v>-2.168283698166602E-2</v>
      </c>
      <c r="F30" s="7">
        <v>0</v>
      </c>
      <c r="G30" s="7">
        <v>255071.76470588089</v>
      </c>
      <c r="H30" s="7">
        <v>83061.655365396262</v>
      </c>
    </row>
    <row r="31" spans="1:8">
      <c r="B31" s="7" t="s">
        <v>82</v>
      </c>
      <c r="C31" s="7" t="s">
        <v>30</v>
      </c>
      <c r="D31" s="9">
        <v>8.5681676864624023E-8</v>
      </c>
      <c r="E31" s="9">
        <v>-3.5242100611133535E-4</v>
      </c>
      <c r="F31" s="7">
        <v>0</v>
      </c>
      <c r="G31" s="7">
        <v>4544150.5313880211</v>
      </c>
      <c r="H31" s="7">
        <v>2581083.3333333493</v>
      </c>
    </row>
    <row r="32" spans="1:8">
      <c r="B32" s="7" t="s">
        <v>84</v>
      </c>
      <c r="C32" s="7" t="s">
        <v>28</v>
      </c>
      <c r="D32" s="9">
        <v>5.5879354476928711E-8</v>
      </c>
      <c r="E32" s="9">
        <v>-1.6196199534791484E-4</v>
      </c>
      <c r="F32" s="7">
        <v>0</v>
      </c>
      <c r="G32" s="7">
        <v>6151608.9101964319</v>
      </c>
      <c r="H32" s="7">
        <v>1392645.0772546227</v>
      </c>
    </row>
    <row r="33" spans="2:8">
      <c r="B33" s="7" t="s">
        <v>66</v>
      </c>
      <c r="C33" s="7" t="s">
        <v>37</v>
      </c>
      <c r="D33" s="9">
        <v>-5673048.6626216359</v>
      </c>
      <c r="E33" s="9">
        <v>0</v>
      </c>
      <c r="F33" s="7">
        <v>0</v>
      </c>
      <c r="G33" s="7">
        <v>1E+30</v>
      </c>
      <c r="H33" s="7">
        <v>5673048.6626216369</v>
      </c>
    </row>
    <row r="34" spans="2:8">
      <c r="B34" s="7" t="s">
        <v>69</v>
      </c>
      <c r="C34" s="7" t="s">
        <v>37</v>
      </c>
      <c r="D34" s="9">
        <v>1.0550138540565968E-10</v>
      </c>
      <c r="E34" s="9">
        <v>1.2382510671744913E-2</v>
      </c>
      <c r="F34" s="7">
        <v>0</v>
      </c>
      <c r="G34" s="7">
        <v>25350.59923998846</v>
      </c>
      <c r="H34" s="7">
        <v>30000.00000000012</v>
      </c>
    </row>
    <row r="35" spans="2:8">
      <c r="B35" s="7" t="s">
        <v>72</v>
      </c>
      <c r="C35" s="7" t="s">
        <v>37</v>
      </c>
      <c r="D35" s="9">
        <v>-31249.422399123127</v>
      </c>
      <c r="E35" s="9">
        <v>0</v>
      </c>
      <c r="F35" s="7">
        <v>0</v>
      </c>
      <c r="G35" s="7">
        <v>1E+30</v>
      </c>
      <c r="H35" s="7">
        <v>31249.422399123127</v>
      </c>
    </row>
    <row r="36" spans="2:8">
      <c r="B36" s="126" t="s">
        <v>74</v>
      </c>
      <c r="C36" s="126" t="s">
        <v>37</v>
      </c>
      <c r="D36" s="127">
        <v>25</v>
      </c>
      <c r="E36" s="127">
        <v>1708.6524981583627</v>
      </c>
      <c r="F36" s="126">
        <v>25</v>
      </c>
      <c r="G36" s="126">
        <v>3.6188766093268621</v>
      </c>
      <c r="H36" s="126">
        <v>4.4325961891189172</v>
      </c>
    </row>
    <row r="37" spans="2:8" ht="15.75" thickBot="1">
      <c r="B37" s="135" t="s">
        <v>76</v>
      </c>
      <c r="C37" s="135" t="s">
        <v>37</v>
      </c>
      <c r="D37" s="136">
        <v>210.00000000000279</v>
      </c>
      <c r="E37" s="136">
        <v>36.911713253061563</v>
      </c>
      <c r="F37" s="135">
        <v>210</v>
      </c>
      <c r="G37" s="135">
        <v>45.25827412512384</v>
      </c>
      <c r="H37" s="135">
        <v>26.554644276671901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2:P15"/>
  <sheetViews>
    <sheetView workbookViewId="0">
      <selection activeCell="E14" sqref="E14"/>
    </sheetView>
  </sheetViews>
  <sheetFormatPr defaultRowHeight="15"/>
  <cols>
    <col min="4" max="4" width="15.28515625" customWidth="1"/>
    <col min="5" max="5" width="12.28515625" customWidth="1"/>
    <col min="6" max="6" width="14.28515625" customWidth="1"/>
    <col min="7" max="7" width="14.42578125" customWidth="1"/>
    <col min="8" max="8" width="13.28515625" customWidth="1"/>
  </cols>
  <sheetData>
    <row r="2" spans="4:16" ht="51.75">
      <c r="D2" s="115" t="s">
        <v>1</v>
      </c>
      <c r="E2" s="115" t="s">
        <v>2</v>
      </c>
      <c r="F2" s="115" t="s">
        <v>3</v>
      </c>
      <c r="G2" s="115" t="s">
        <v>4</v>
      </c>
      <c r="H2" s="115" t="s">
        <v>5</v>
      </c>
      <c r="I2" s="115" t="s">
        <v>6</v>
      </c>
      <c r="J2" s="115" t="s">
        <v>7</v>
      </c>
      <c r="K2" s="115" t="s">
        <v>8</v>
      </c>
      <c r="L2" s="116" t="s">
        <v>9</v>
      </c>
      <c r="M2" s="115" t="s">
        <v>10</v>
      </c>
      <c r="N2" s="115" t="s">
        <v>11</v>
      </c>
      <c r="O2" s="115" t="s">
        <v>12</v>
      </c>
      <c r="P2" s="115" t="s">
        <v>13</v>
      </c>
    </row>
    <row r="3" spans="4:16">
      <c r="D3" s="114" t="s">
        <v>14</v>
      </c>
      <c r="E3" s="114" t="s">
        <v>15</v>
      </c>
      <c r="F3" s="114" t="s">
        <v>16</v>
      </c>
      <c r="G3" s="114" t="s">
        <v>17</v>
      </c>
      <c r="H3" s="114" t="s">
        <v>18</v>
      </c>
      <c r="I3" s="114" t="s">
        <v>19</v>
      </c>
      <c r="J3" s="114" t="s">
        <v>20</v>
      </c>
      <c r="K3" s="114" t="s">
        <v>21</v>
      </c>
      <c r="L3" s="114" t="s">
        <v>22</v>
      </c>
      <c r="M3" s="114" t="s">
        <v>23</v>
      </c>
      <c r="N3" s="114" t="s">
        <v>24</v>
      </c>
      <c r="O3" s="114" t="s">
        <v>25</v>
      </c>
      <c r="P3" s="114" t="s">
        <v>26</v>
      </c>
    </row>
    <row r="4" spans="4:16">
      <c r="D4" s="13">
        <f>Υποδειγμα!B4</f>
        <v>4.4089864735759203</v>
      </c>
      <c r="E4" s="13">
        <f>Υποδειγμα!C4</f>
        <v>30.591013526424543</v>
      </c>
      <c r="F4" s="14">
        <f>Υποδειγμα!D4</f>
        <v>0</v>
      </c>
      <c r="G4" s="14">
        <f>Υποδειγμα!E4</f>
        <v>0</v>
      </c>
      <c r="H4" s="15">
        <f>Υποδειγμα!F4</f>
        <v>5250.5776008768735</v>
      </c>
      <c r="I4" s="15">
        <f>Υποδειγμα!G4</f>
        <v>10473.161534491353</v>
      </c>
      <c r="J4" s="15">
        <f>Υποδειγμα!H4</f>
        <v>30000.000000000106</v>
      </c>
      <c r="K4" s="15">
        <f>Υποδειγμα!I4</f>
        <v>6964.1371557054808</v>
      </c>
      <c r="L4" s="14">
        <f>Υποδειγμα!J4</f>
        <v>25</v>
      </c>
      <c r="M4" s="14">
        <f>Υποδειγμα!K4</f>
        <v>0</v>
      </c>
      <c r="N4" s="15">
        <f>Υποδειγμα!L4</f>
        <v>151991.41254848379</v>
      </c>
      <c r="O4" s="14">
        <f>Υποδειγμα!M4</f>
        <v>0</v>
      </c>
      <c r="P4" s="14">
        <f>Υποδειγμα!N4</f>
        <v>0</v>
      </c>
    </row>
    <row r="7" spans="4:16" ht="15.75" thickBot="1"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4:16" ht="50.25" customHeight="1" thickBot="1">
      <c r="D8" s="113"/>
      <c r="E8" s="122" t="s">
        <v>165</v>
      </c>
      <c r="F8" s="122" t="s">
        <v>166</v>
      </c>
      <c r="G8" s="122" t="s">
        <v>167</v>
      </c>
      <c r="H8" s="113"/>
      <c r="I8" s="113"/>
      <c r="J8" s="113"/>
      <c r="K8" s="113"/>
      <c r="L8" s="113"/>
      <c r="M8" s="113"/>
      <c r="N8" s="113"/>
      <c r="O8" s="113"/>
      <c r="P8" s="113"/>
    </row>
    <row r="9" spans="4:16" ht="30.75" thickBot="1">
      <c r="D9" s="129" t="s">
        <v>114</v>
      </c>
      <c r="E9" s="123">
        <f>(D4*'Αρχικοι υπολογισμοι'!E15)+I4-M4</f>
        <v>15323.046655424867</v>
      </c>
      <c r="F9" s="123">
        <f t="shared" ref="F9:F15" si="0">E9/$L$4</f>
        <v>612.92186621699466</v>
      </c>
      <c r="G9" s="124">
        <f>F9/300</f>
        <v>2.0430728873899824</v>
      </c>
      <c r="H9" s="176" t="s">
        <v>172</v>
      </c>
      <c r="I9" s="113"/>
      <c r="J9" s="113"/>
      <c r="K9" s="113"/>
      <c r="L9" s="113"/>
      <c r="M9" s="113"/>
      <c r="N9" s="113"/>
      <c r="O9" s="113"/>
      <c r="P9" s="113"/>
    </row>
    <row r="10" spans="4:16" ht="15.75" thickBot="1">
      <c r="D10" s="129" t="s">
        <v>136</v>
      </c>
      <c r="E10" s="123">
        <f>(D4*'Αρχικοι υπολογισμοι'!E17)+('Τελική καταναλωση αγελαδων'!E4*'Αρχικοι υπολογισμοι'!E36)</f>
        <v>12250.000000000164</v>
      </c>
      <c r="F10" s="123">
        <f t="shared" si="0"/>
        <v>490.00000000000654</v>
      </c>
      <c r="G10" s="124">
        <f>F10/300</f>
        <v>1.6333333333333551</v>
      </c>
      <c r="H10" s="176"/>
      <c r="I10" s="113"/>
      <c r="J10" s="113"/>
      <c r="K10" s="113"/>
      <c r="L10" s="113"/>
      <c r="M10" s="113"/>
      <c r="N10" s="113"/>
      <c r="O10" s="113"/>
      <c r="P10" s="113"/>
    </row>
    <row r="11" spans="4:16" ht="15.75" thickBot="1">
      <c r="D11" s="129" t="s">
        <v>118</v>
      </c>
      <c r="E11" s="123">
        <f>J4</f>
        <v>30000.000000000106</v>
      </c>
      <c r="F11" s="123">
        <f t="shared" si="0"/>
        <v>1200.0000000000043</v>
      </c>
      <c r="G11" s="124">
        <f>F11/300</f>
        <v>4.0000000000000142</v>
      </c>
      <c r="H11" s="176"/>
      <c r="I11" s="113"/>
      <c r="J11" s="113"/>
      <c r="K11" s="113"/>
      <c r="L11" s="113"/>
      <c r="M11" s="113"/>
      <c r="N11" s="113"/>
      <c r="O11" s="113"/>
      <c r="P11" s="113"/>
    </row>
    <row r="12" spans="4:16" ht="15.75" thickBot="1">
      <c r="D12" s="129" t="s">
        <v>117</v>
      </c>
      <c r="E12" s="123">
        <f>K4</f>
        <v>6964.1371557054808</v>
      </c>
      <c r="F12" s="123">
        <f t="shared" si="0"/>
        <v>278.56548622821924</v>
      </c>
      <c r="G12" s="124">
        <f>F12/300</f>
        <v>0.92855162076073083</v>
      </c>
      <c r="H12" s="176"/>
      <c r="I12" s="120"/>
      <c r="J12" s="113"/>
      <c r="K12" s="113"/>
      <c r="L12" s="113"/>
      <c r="M12" s="113"/>
      <c r="N12" s="113"/>
      <c r="O12" s="113"/>
      <c r="P12" s="113"/>
    </row>
    <row r="13" spans="4:16" ht="30.75" customHeight="1" thickBot="1">
      <c r="D13" s="128" t="s">
        <v>119</v>
      </c>
      <c r="E13" s="123">
        <f>('Τελική καταναλωση αγελαδων'!E4*'Αρχικοι υπολογισμοι'!E35)-P4</f>
        <v>183546.08115854725</v>
      </c>
      <c r="F13" s="123">
        <f t="shared" si="0"/>
        <v>7341.8432463418903</v>
      </c>
      <c r="G13" s="124">
        <f t="shared" ref="G13:G15" si="1">F13/365</f>
        <v>20.114639031073672</v>
      </c>
      <c r="H13" s="177" t="s">
        <v>173</v>
      </c>
      <c r="I13" s="113"/>
      <c r="J13" s="113"/>
      <c r="K13" s="113"/>
      <c r="L13" s="113"/>
      <c r="M13" s="113"/>
      <c r="N13" s="113"/>
      <c r="O13" s="113"/>
      <c r="P13" s="113"/>
    </row>
    <row r="14" spans="4:16" ht="15.75" thickBot="1">
      <c r="D14" s="128" t="s">
        <v>168</v>
      </c>
      <c r="E14" s="123">
        <f>(D4*'Αρχικοι υπολογισμοι'!E16)+('Τελική καταναλωση αγελαδων'!E4*'Αρχικοι υπολογισμοι'!E34)-'Τελική καταναλωση αγελαδων'!N4</f>
        <v>30008.58745151863</v>
      </c>
      <c r="F14" s="123">
        <f t="shared" si="0"/>
        <v>1200.3434980607451</v>
      </c>
      <c r="G14" s="124">
        <f t="shared" si="1"/>
        <v>3.288612323454096</v>
      </c>
      <c r="H14" s="178"/>
      <c r="I14" s="113"/>
      <c r="J14" s="113"/>
      <c r="K14" s="113"/>
      <c r="L14" s="113"/>
      <c r="M14" s="113"/>
      <c r="N14" s="113"/>
      <c r="O14" s="113"/>
      <c r="P14" s="113"/>
    </row>
    <row r="15" spans="4:16" ht="15.75" thickBot="1">
      <c r="D15" s="128" t="s">
        <v>121</v>
      </c>
      <c r="E15" s="123">
        <f>H4</f>
        <v>5250.5776008768735</v>
      </c>
      <c r="F15" s="123">
        <f t="shared" si="0"/>
        <v>210.02310403507494</v>
      </c>
      <c r="G15" s="124">
        <f t="shared" si="1"/>
        <v>0.57540576447965741</v>
      </c>
      <c r="H15" s="179"/>
    </row>
  </sheetData>
  <mergeCells count="2">
    <mergeCell ref="H9:H12"/>
    <mergeCell ref="H13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Αρχικοι υπολογισμοι</vt:lpstr>
      <vt:lpstr>Υποδειγμα</vt:lpstr>
      <vt:lpstr>Answer Report 1</vt:lpstr>
      <vt:lpstr>Sensitivity Report 1</vt:lpstr>
      <vt:lpstr>Τελική καταναλωση αγελαδων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kostasT</dc:creator>
  <cp:lastModifiedBy>Windows User</cp:lastModifiedBy>
  <dcterms:created xsi:type="dcterms:W3CDTF">2016-05-20T12:04:45Z</dcterms:created>
  <dcterms:modified xsi:type="dcterms:W3CDTF">2019-05-11T08:45:47Z</dcterms:modified>
</cp:coreProperties>
</file>