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410"/>
  <workbookPr/>
  <mc:AlternateContent xmlns:mc="http://schemas.openxmlformats.org/markup-compatibility/2006">
    <mc:Choice Requires="x15">
      <x15ac:absPath xmlns:x15ac="http://schemas.microsoft.com/office/spreadsheetml/2010/11/ac" url="/Users/stathis/Dropbox/"/>
    </mc:Choice>
  </mc:AlternateContent>
  <bookViews>
    <workbookView xWindow="0" yWindow="460" windowWidth="28800" windowHeight="17460" activeTab="2"/>
  </bookViews>
  <sheets>
    <sheet name="Sheet1" sheetId="1" r:id="rId1"/>
    <sheet name="Sheet2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3" l="1"/>
  <c r="C21" i="3"/>
  <c r="D25" i="3"/>
  <c r="B22" i="3"/>
  <c r="B24" i="3"/>
  <c r="B27" i="3"/>
  <c r="B28" i="3"/>
  <c r="B31" i="3"/>
  <c r="C31" i="3"/>
  <c r="D31" i="3"/>
  <c r="D32" i="3"/>
  <c r="E31" i="3"/>
  <c r="E32" i="3"/>
  <c r="F31" i="3"/>
  <c r="F32" i="3"/>
  <c r="C32" i="3"/>
  <c r="B32" i="3"/>
  <c r="F33" i="3"/>
  <c r="E33" i="3"/>
  <c r="D33" i="3"/>
  <c r="C33" i="3"/>
  <c r="B33" i="3"/>
  <c r="B26" i="3"/>
  <c r="B6" i="3"/>
  <c r="B8" i="3"/>
  <c r="B9" i="3"/>
  <c r="J15" i="3"/>
  <c r="J6" i="3"/>
  <c r="L12" i="3"/>
  <c r="L16" i="3"/>
  <c r="L17" i="3"/>
  <c r="L18" i="3"/>
  <c r="M12" i="3"/>
  <c r="M16" i="3"/>
  <c r="M17" i="3"/>
  <c r="M18" i="3"/>
  <c r="N12" i="3"/>
  <c r="N16" i="3"/>
  <c r="N17" i="3"/>
  <c r="N18" i="3"/>
  <c r="O12" i="3"/>
  <c r="O16" i="3"/>
  <c r="O17" i="3"/>
  <c r="O18" i="3"/>
  <c r="K12" i="3"/>
  <c r="K16" i="3"/>
  <c r="K17" i="3"/>
  <c r="K18" i="3"/>
  <c r="K14" i="3"/>
  <c r="O14" i="3"/>
  <c r="N14" i="3"/>
  <c r="M14" i="3"/>
  <c r="L14" i="3"/>
  <c r="O15" i="3"/>
  <c r="M15" i="3"/>
  <c r="M13" i="3"/>
  <c r="L13" i="3"/>
  <c r="N13" i="3"/>
  <c r="O13" i="3"/>
  <c r="K11" i="3"/>
  <c r="K13" i="3"/>
  <c r="K15" i="3"/>
  <c r="J13" i="3"/>
  <c r="J11" i="3"/>
  <c r="B4" i="3"/>
  <c r="B10" i="3"/>
  <c r="B11" i="3"/>
  <c r="B14" i="3"/>
  <c r="C14" i="3"/>
  <c r="C15" i="3"/>
  <c r="C16" i="3"/>
  <c r="D14" i="3"/>
  <c r="D15" i="3"/>
  <c r="D16" i="3"/>
  <c r="E14" i="3"/>
  <c r="E15" i="3"/>
  <c r="E16" i="3"/>
  <c r="F14" i="3"/>
  <c r="F15" i="3"/>
  <c r="F16" i="3"/>
  <c r="B15" i="3"/>
  <c r="B16" i="3"/>
  <c r="C6" i="1"/>
  <c r="T9" i="1"/>
  <c r="J4" i="3"/>
  <c r="L15" i="3"/>
  <c r="N15" i="3"/>
  <c r="L11" i="3"/>
  <c r="M11" i="3"/>
  <c r="N11" i="3"/>
  <c r="O11" i="3"/>
  <c r="C25" i="1"/>
  <c r="T16" i="1"/>
  <c r="X15" i="1"/>
  <c r="W15" i="1"/>
  <c r="V15" i="1"/>
  <c r="U15" i="1"/>
  <c r="T15" i="1"/>
  <c r="T14" i="1"/>
  <c r="T10" i="1"/>
  <c r="U8" i="1"/>
  <c r="T6" i="1"/>
  <c r="U14" i="1"/>
  <c r="V14" i="1"/>
  <c r="W14" i="1"/>
  <c r="X14" i="1"/>
  <c r="T8" i="1"/>
  <c r="T4" i="1"/>
  <c r="C29" i="1"/>
  <c r="C27" i="1"/>
  <c r="E26" i="1"/>
  <c r="C21" i="1"/>
  <c r="C23" i="1"/>
  <c r="M16" i="1"/>
  <c r="N16" i="1"/>
  <c r="O16" i="1"/>
  <c r="P16" i="1"/>
  <c r="L16" i="1"/>
  <c r="N14" i="1"/>
  <c r="O14" i="1"/>
  <c r="P14" i="1"/>
  <c r="M14" i="1"/>
  <c r="L14" i="1"/>
  <c r="L9" i="1"/>
  <c r="L4" i="1"/>
  <c r="C4" i="1"/>
  <c r="U16" i="1"/>
  <c r="F20" i="1"/>
  <c r="D3" i="2"/>
  <c r="D5" i="2"/>
  <c r="D4" i="2"/>
  <c r="C5" i="2"/>
  <c r="D2" i="2"/>
  <c r="V16" i="1"/>
  <c r="C8" i="1"/>
  <c r="C9" i="1"/>
  <c r="L6" i="1"/>
  <c r="W16" i="1"/>
  <c r="X16" i="1"/>
  <c r="L8" i="1"/>
  <c r="L10" i="1"/>
  <c r="L11" i="1"/>
  <c r="L15" i="1"/>
  <c r="F26" i="1"/>
  <c r="E28" i="1"/>
  <c r="F28" i="1"/>
  <c r="F24" i="1"/>
  <c r="C10" i="1"/>
  <c r="C11" i="1"/>
  <c r="C14" i="1"/>
  <c r="D14" i="1"/>
  <c r="C15" i="1"/>
  <c r="C16" i="1"/>
  <c r="F27" i="1"/>
  <c r="G26" i="1"/>
  <c r="G28" i="1"/>
  <c r="G29" i="1"/>
  <c r="F29" i="1"/>
  <c r="G24" i="1"/>
  <c r="H24" i="1"/>
  <c r="I24" i="1"/>
  <c r="J24" i="1"/>
  <c r="F25" i="1"/>
  <c r="H28" i="1"/>
  <c r="H25" i="1"/>
  <c r="G25" i="1"/>
  <c r="M15" i="1"/>
  <c r="H26" i="1"/>
  <c r="G27" i="1"/>
  <c r="F30" i="1"/>
  <c r="F31" i="1"/>
  <c r="I28" i="1"/>
  <c r="H29" i="1"/>
  <c r="J25" i="1"/>
  <c r="I25" i="1"/>
  <c r="E14" i="1"/>
  <c r="D15" i="1"/>
  <c r="D16" i="1"/>
  <c r="N15" i="1"/>
  <c r="G30" i="1"/>
  <c r="G31" i="1"/>
  <c r="I26" i="1"/>
  <c r="H27" i="1"/>
  <c r="H30" i="1"/>
  <c r="H31" i="1"/>
  <c r="J28" i="1"/>
  <c r="J29" i="1"/>
  <c r="I29" i="1"/>
  <c r="O15" i="1"/>
  <c r="P15" i="1"/>
  <c r="F14" i="1"/>
  <c r="E15" i="1"/>
  <c r="E16" i="1"/>
  <c r="J26" i="1"/>
  <c r="J27" i="1"/>
  <c r="J30" i="1"/>
  <c r="J31" i="1"/>
  <c r="I27" i="1"/>
  <c r="I30" i="1"/>
  <c r="I31" i="1"/>
  <c r="G14" i="1"/>
  <c r="G15" i="1"/>
  <c r="G16" i="1"/>
  <c r="F15" i="1"/>
  <c r="F16" i="1"/>
</calcChain>
</file>

<file path=xl/sharedStrings.xml><?xml version="1.0" encoding="utf-8"?>
<sst xmlns="http://schemas.openxmlformats.org/spreadsheetml/2006/main" count="102" uniqueCount="44">
  <si>
    <t>Καλλιεργούμενη Έκταση 2014 στρ)</t>
  </si>
  <si>
    <t>Αξία Δικαιωμάτων 2014 (€)</t>
  </si>
  <si>
    <t>Καλλιεργούμενη έκταση αρόσιμα 2015 (στρ)</t>
  </si>
  <si>
    <t>Αρχική Μοναδιαία Αξία Δικαιώματος (ΑΜΑΔ) (€)</t>
  </si>
  <si>
    <t>Ετήσιο Βήμα Μείωσης (€)</t>
  </si>
  <si>
    <t>ΕΤΟΣ</t>
  </si>
  <si>
    <t>ΜΟΝΑΔΙΑΙΑ ΑΞΙΑ ΔΙΚΑΙΩΜΑΤΟΣ</t>
  </si>
  <si>
    <t>Κανόνας του 30%  (€)</t>
  </si>
  <si>
    <t>Κανόνας του 30% Τελική ΑΜΑΔ&lt; Θεωρητικής (€)</t>
  </si>
  <si>
    <t>Θεωρητική Τιμή Δικαιώματος (Περιφέρεια Αρόσιμες) (€)</t>
  </si>
  <si>
    <t>Κανόνας 30% με αύξηση της Καλ. Γης</t>
  </si>
  <si>
    <t xml:space="preserve">Κανόνας 30% </t>
  </si>
  <si>
    <t>Και στις 3 Περιφέρειες</t>
  </si>
  <si>
    <t>Καλλιεργούμενη έκταση 2015 (στρ)</t>
  </si>
  <si>
    <t>ΑΜΑΔ</t>
  </si>
  <si>
    <t xml:space="preserve">ΕΚΤΑΣΕΙΣ </t>
  </si>
  <si>
    <t>ΕΤΗΣΙΟ ΒΗΜΑ</t>
  </si>
  <si>
    <t>ΑΞΙΑ ΔΙΚΑΙΩΜΑΤΩΝ (Βασική Ενίσχυση)</t>
  </si>
  <si>
    <t>ΣΥΝΟΛΙΚΗ ΑΞΙΑ ΔΙΚΑΙΩΜΑΤΩΝ (Βασική+Πρασίνισμα)</t>
  </si>
  <si>
    <t xml:space="preserve">ΣΥΝΟΛΟ Βασικής </t>
  </si>
  <si>
    <t>ΣΥΝΟΛΟ Βασικής + Πρασινισμα</t>
  </si>
  <si>
    <t>Μείωση κατά 45% (€) Πρασίνισμα, Φυσ Περ, Νέοι Γεω, Συνδεδεμένες)</t>
  </si>
  <si>
    <t>Σύγκλιση (48.89-34.22) (€)</t>
  </si>
  <si>
    <t>Καλλιεργούμενη Έκταση 2014 (στρ)</t>
  </si>
  <si>
    <t>Σύγκλιση (33-31.45) (€)</t>
  </si>
  <si>
    <t>ΣΥΝΟΛΙΚΗ ΑΞΙΑ ΒΑΣΙΚΗΣ</t>
  </si>
  <si>
    <t>ΣΥΝΟΛΙΚΗ ΑΞΙΑ ΒΑΣΙΚΗΣ+ΠΡΑΣΙΝΙΣΜΑ</t>
  </si>
  <si>
    <t>Μείωση κατά 45% (€)</t>
  </si>
  <si>
    <t>ΑΡΟΣΙΜΕΣ 90%*31.45=28.3 άρα θα παίρνει το ίδιο</t>
  </si>
  <si>
    <t xml:space="preserve"> ΔΕΝΔΡΩΝΕΣ 90%*38.59=34.73 άρα (34.73-28.88)/3/5=0.039</t>
  </si>
  <si>
    <r>
      <t>ΒΟΣΚΟΤΟΠΟΙ Κανόνας του 30% 70%*28.9=</t>
    </r>
    <r>
      <rPr>
        <b/>
        <sz val="11"/>
        <color theme="1"/>
        <rFont val="Calibri"/>
        <family val="2"/>
        <charset val="161"/>
        <scheme val="minor"/>
      </rPr>
      <t>20.22</t>
    </r>
  </si>
  <si>
    <t>Θεωρητική Τιμή Δικαιώματος (Περιφέρεια Δενδρώνεσ) (€)</t>
  </si>
  <si>
    <t xml:space="preserve"> 90% του ΠΜΑ (€)</t>
  </si>
  <si>
    <t>ΜΟΝΑΔΙΑΙΑ ΑΞΙΑ ΔΙΚΑΙΩΜΑΤΟΣ Με σύγκλιση του 1/3 τα διαφοράς</t>
  </si>
  <si>
    <t>Κανόνας Σύγκλησης του 1/3 της διαδοράς (34.73-12.28)</t>
  </si>
  <si>
    <t>Θεωρητική Τιμή Δικαιώματος (Περιφέρεια Δενδρώνες) (€)</t>
  </si>
  <si>
    <t>Θεωρητική Τιμή Δικαιώματος (Περιφέρεια Βοσκότοποι) (€)</t>
  </si>
  <si>
    <t>ΔΕΝΔΡΩΝΕΣ (στρ)</t>
  </si>
  <si>
    <t>ΒΟΣΚΟΤΟΠΟΙ (στρ)</t>
  </si>
  <si>
    <t>ΑΡΟΣΙΜΕΣ (στρ)</t>
  </si>
  <si>
    <t>Σύγκλιση (35-50) (€)</t>
  </si>
  <si>
    <t>Αύξηση κατά 1/3 του 90% της διαφοράς</t>
  </si>
  <si>
    <t>Θεωρητική Τιμή Δικαιώματος (Βοσκότοπους) (€)</t>
  </si>
  <si>
    <t>Ετήσιο Βήμα Αύξησης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</si>
</sst>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  <charset val="161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161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9" fontId="7" fillId="0" borderId="0" applyFont="0" applyFill="0" applyBorder="0" applyAlignment="0" applyProtection="0"/>
  </cellStyleXfs>
  <cellXfs count="20">
    <xf numFmtId="0" fontId="0" fillId="0" borderId="0" xfId="0"/>
    <xf numFmtId="3" fontId="0" fillId="0" borderId="0" xfId="0" applyNumberFormat="1"/>
    <xf numFmtId="2" fontId="0" fillId="0" borderId="0" xfId="0" applyNumberFormat="1"/>
    <xf numFmtId="164" fontId="0" fillId="0" borderId="0" xfId="0" applyNumberFormat="1"/>
    <xf numFmtId="3" fontId="1" fillId="0" borderId="0" xfId="0" applyNumberFormat="1" applyFont="1"/>
    <xf numFmtId="0" fontId="2" fillId="0" borderId="0" xfId="0" applyFont="1"/>
    <xf numFmtId="2" fontId="4" fillId="0" borderId="0" xfId="1" applyNumberFormat="1" applyFont="1" applyBorder="1" applyAlignment="1">
      <alignment horizontal="right"/>
    </xf>
    <xf numFmtId="1" fontId="5" fillId="0" borderId="0" xfId="1" applyNumberFormat="1" applyFont="1" applyFill="1" applyBorder="1" applyAlignment="1">
      <alignment horizontal="center"/>
    </xf>
    <xf numFmtId="2" fontId="6" fillId="0" borderId="0" xfId="0" applyNumberFormat="1" applyFont="1"/>
    <xf numFmtId="0" fontId="6" fillId="0" borderId="0" xfId="0" applyFont="1"/>
    <xf numFmtId="9" fontId="0" fillId="0" borderId="0" xfId="0" applyNumberFormat="1"/>
    <xf numFmtId="10" fontId="0" fillId="0" borderId="0" xfId="2" applyNumberFormat="1" applyFont="1"/>
    <xf numFmtId="165" fontId="0" fillId="0" borderId="0" xfId="0" applyNumberFormat="1"/>
    <xf numFmtId="2" fontId="8" fillId="0" borderId="0" xfId="0" applyNumberFormat="1" applyFont="1"/>
    <xf numFmtId="4" fontId="0" fillId="0" borderId="0" xfId="0" applyNumberFormat="1"/>
    <xf numFmtId="4" fontId="8" fillId="0" borderId="0" xfId="0" applyNumberFormat="1" applyFont="1"/>
    <xf numFmtId="3" fontId="8" fillId="0" borderId="0" xfId="0" applyNumberFormat="1" applyFont="1"/>
    <xf numFmtId="0" fontId="9" fillId="2" borderId="0" xfId="0" applyFont="1" applyFill="1"/>
    <xf numFmtId="2" fontId="2" fillId="0" borderId="0" xfId="0" applyNumberFormat="1" applyFont="1"/>
    <xf numFmtId="2" fontId="2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5"/>
  <sheetViews>
    <sheetView topLeftCell="D1" workbookViewId="0">
      <selection activeCell="S8" sqref="S8:S10"/>
    </sheetView>
  </sheetViews>
  <sheetFormatPr baseColWidth="10" defaultColWidth="8.83203125" defaultRowHeight="15" x14ac:dyDescent="0.2"/>
  <cols>
    <col min="2" max="2" width="54.83203125" bestFit="1" customWidth="1"/>
    <col min="3" max="3" width="11.5" bestFit="1" customWidth="1"/>
    <col min="4" max="4" width="10.5" bestFit="1" customWidth="1"/>
    <col min="5" max="5" width="9.6640625" bestFit="1" customWidth="1"/>
    <col min="6" max="6" width="9.1640625" customWidth="1"/>
    <col min="7" max="7" width="9.6640625" bestFit="1" customWidth="1"/>
    <col min="11" max="11" width="43.5" bestFit="1" customWidth="1"/>
    <col min="12" max="12" width="9.5" bestFit="1" customWidth="1"/>
    <col min="19" max="19" width="52" bestFit="1" customWidth="1"/>
    <col min="20" max="21" width="9.5" bestFit="1" customWidth="1"/>
  </cols>
  <sheetData>
    <row r="1" spans="2:24" ht="19" x14ac:dyDescent="0.25">
      <c r="B1" s="5" t="s">
        <v>10</v>
      </c>
      <c r="K1" s="5" t="s">
        <v>11</v>
      </c>
    </row>
    <row r="2" spans="2:24" x14ac:dyDescent="0.2">
      <c r="B2" t="s">
        <v>0</v>
      </c>
      <c r="C2">
        <v>200</v>
      </c>
      <c r="K2" t="s">
        <v>23</v>
      </c>
      <c r="L2">
        <v>200</v>
      </c>
      <c r="S2" t="s">
        <v>23</v>
      </c>
      <c r="T2">
        <v>300</v>
      </c>
    </row>
    <row r="3" spans="2:24" x14ac:dyDescent="0.2">
      <c r="B3" t="s">
        <v>1</v>
      </c>
      <c r="C3" s="4">
        <v>12000</v>
      </c>
      <c r="K3" t="s">
        <v>1</v>
      </c>
      <c r="L3" s="4">
        <v>12000</v>
      </c>
      <c r="S3" t="s">
        <v>1</v>
      </c>
      <c r="T3">
        <v>6700</v>
      </c>
    </row>
    <row r="4" spans="2:24" x14ac:dyDescent="0.2">
      <c r="B4" t="s">
        <v>21</v>
      </c>
      <c r="C4" s="1">
        <f>C3*0.55</f>
        <v>6600.0000000000009</v>
      </c>
      <c r="K4" t="s">
        <v>27</v>
      </c>
      <c r="L4" s="1">
        <f>L3*0.55</f>
        <v>6600.0000000000009</v>
      </c>
      <c r="S4" t="s">
        <v>27</v>
      </c>
      <c r="T4">
        <f>T3*0.55</f>
        <v>3685.0000000000005</v>
      </c>
    </row>
    <row r="5" spans="2:24" x14ac:dyDescent="0.2">
      <c r="B5" t="s">
        <v>2</v>
      </c>
      <c r="C5">
        <v>180</v>
      </c>
      <c r="K5" t="s">
        <v>2</v>
      </c>
      <c r="L5">
        <v>200</v>
      </c>
      <c r="S5" t="s">
        <v>2</v>
      </c>
      <c r="T5">
        <v>300</v>
      </c>
    </row>
    <row r="6" spans="2:24" x14ac:dyDescent="0.2">
      <c r="B6" t="s">
        <v>3</v>
      </c>
      <c r="C6" s="2">
        <f>C4/C5</f>
        <v>36.666666666666671</v>
      </c>
      <c r="K6" t="s">
        <v>3</v>
      </c>
      <c r="L6" s="2">
        <f>L4/L5</f>
        <v>33.000000000000007</v>
      </c>
      <c r="S6" t="s">
        <v>3</v>
      </c>
      <c r="T6" s="2">
        <f>T4/T5</f>
        <v>12.283333333333335</v>
      </c>
    </row>
    <row r="7" spans="2:24" x14ac:dyDescent="0.2">
      <c r="B7" t="s">
        <v>9</v>
      </c>
      <c r="C7">
        <v>31.45</v>
      </c>
      <c r="K7" t="s">
        <v>9</v>
      </c>
      <c r="L7">
        <v>31.45</v>
      </c>
      <c r="S7" t="s">
        <v>31</v>
      </c>
      <c r="T7">
        <v>38.590000000000003</v>
      </c>
    </row>
    <row r="8" spans="2:24" x14ac:dyDescent="0.2">
      <c r="B8" t="s">
        <v>7</v>
      </c>
      <c r="C8" s="2">
        <f>C6*0.7</f>
        <v>25.666666666666668</v>
      </c>
      <c r="K8" t="s">
        <v>7</v>
      </c>
      <c r="L8">
        <f>L6*0.7</f>
        <v>23.100000000000005</v>
      </c>
      <c r="S8" t="s">
        <v>32</v>
      </c>
      <c r="T8" s="2">
        <f>T7*0.9</f>
        <v>34.731000000000002</v>
      </c>
      <c r="U8" s="2">
        <f>0.6*T7</f>
        <v>23.154</v>
      </c>
    </row>
    <row r="9" spans="2:24" x14ac:dyDescent="0.2">
      <c r="B9" t="s">
        <v>8</v>
      </c>
      <c r="C9" s="2">
        <f>IF(C8&gt;C7,C8,C7)</f>
        <v>31.45</v>
      </c>
      <c r="K9" t="s">
        <v>8</v>
      </c>
      <c r="L9">
        <f>IF(L8&gt;L7,L8,L7)</f>
        <v>31.45</v>
      </c>
      <c r="S9" t="s">
        <v>34</v>
      </c>
      <c r="T9" s="2">
        <f>(T8-T6)/3</f>
        <v>7.4825555555555558</v>
      </c>
    </row>
    <row r="10" spans="2:24" x14ac:dyDescent="0.2">
      <c r="B10" t="s">
        <v>22</v>
      </c>
      <c r="C10" s="2">
        <f>C6-C9</f>
        <v>5.2166666666666721</v>
      </c>
      <c r="K10" t="s">
        <v>24</v>
      </c>
      <c r="L10" s="2">
        <f>L6-L9</f>
        <v>1.5500000000000078</v>
      </c>
      <c r="S10" t="s">
        <v>4</v>
      </c>
      <c r="T10" s="2">
        <f>T9/5</f>
        <v>1.4965111111111111</v>
      </c>
    </row>
    <row r="11" spans="2:24" x14ac:dyDescent="0.2">
      <c r="B11" t="s">
        <v>4</v>
      </c>
      <c r="C11" s="2">
        <f>C10/5</f>
        <v>1.0433333333333343</v>
      </c>
      <c r="K11" t="s">
        <v>4</v>
      </c>
      <c r="L11" s="2">
        <f>L10/5</f>
        <v>0.31000000000000155</v>
      </c>
    </row>
    <row r="13" spans="2:24" x14ac:dyDescent="0.2">
      <c r="B13" t="s">
        <v>5</v>
      </c>
      <c r="C13">
        <v>2015</v>
      </c>
      <c r="D13">
        <v>2016</v>
      </c>
      <c r="E13">
        <v>2017</v>
      </c>
      <c r="F13">
        <v>2018</v>
      </c>
      <c r="G13">
        <v>2019</v>
      </c>
      <c r="K13" t="s">
        <v>5</v>
      </c>
      <c r="L13">
        <v>2015</v>
      </c>
      <c r="M13">
        <v>2016</v>
      </c>
      <c r="N13">
        <v>2017</v>
      </c>
      <c r="O13">
        <v>2018</v>
      </c>
      <c r="P13">
        <v>2019</v>
      </c>
      <c r="S13" t="s">
        <v>5</v>
      </c>
      <c r="T13" s="9">
        <v>2015</v>
      </c>
      <c r="U13" s="9">
        <v>2016</v>
      </c>
      <c r="V13" s="9">
        <v>2017</v>
      </c>
      <c r="W13" s="9">
        <v>2018</v>
      </c>
      <c r="X13" s="9">
        <v>2019</v>
      </c>
    </row>
    <row r="14" spans="2:24" x14ac:dyDescent="0.2">
      <c r="B14" t="s">
        <v>6</v>
      </c>
      <c r="C14" s="2">
        <f>C6-$C$11</f>
        <v>35.623333333333335</v>
      </c>
      <c r="D14" s="2">
        <f>C14-$C$11</f>
        <v>34.58</v>
      </c>
      <c r="E14" s="2">
        <f t="shared" ref="E14:G14" si="0">D14-$C$11</f>
        <v>33.536666666666662</v>
      </c>
      <c r="F14" s="2">
        <f t="shared" si="0"/>
        <v>32.493333333333325</v>
      </c>
      <c r="G14" s="2">
        <f t="shared" si="0"/>
        <v>31.449999999999992</v>
      </c>
      <c r="K14" t="s">
        <v>6</v>
      </c>
      <c r="L14" s="2">
        <f>L6-$L$11</f>
        <v>32.690000000000005</v>
      </c>
      <c r="M14" s="2">
        <f>L14-$L11</f>
        <v>32.380000000000003</v>
      </c>
      <c r="N14" s="2">
        <f t="shared" ref="N14:P14" si="1">M14-$L11</f>
        <v>32.07</v>
      </c>
      <c r="O14" s="2">
        <f t="shared" si="1"/>
        <v>31.759999999999998</v>
      </c>
      <c r="P14" s="2">
        <f t="shared" si="1"/>
        <v>31.449999999999996</v>
      </c>
      <c r="S14" t="s">
        <v>33</v>
      </c>
      <c r="T14" s="2">
        <f>T6+$T$10</f>
        <v>13.779844444444446</v>
      </c>
      <c r="U14" s="2">
        <f>T14+$T10</f>
        <v>15.276355555555558</v>
      </c>
      <c r="V14" s="2">
        <f t="shared" ref="V14:X14" si="2">U14+$T10</f>
        <v>16.772866666666669</v>
      </c>
      <c r="W14" s="2">
        <f t="shared" si="2"/>
        <v>18.26937777777778</v>
      </c>
      <c r="X14" s="2">
        <f t="shared" si="2"/>
        <v>19.765888888888892</v>
      </c>
    </row>
    <row r="15" spans="2:24" x14ac:dyDescent="0.2">
      <c r="B15" t="s">
        <v>17</v>
      </c>
      <c r="C15" s="1">
        <f>C14*$C$5</f>
        <v>6412.2000000000007</v>
      </c>
      <c r="D15" s="1">
        <f t="shared" ref="D15:F15" si="3">D14*$C$5</f>
        <v>6224.4</v>
      </c>
      <c r="E15" s="1">
        <f t="shared" si="3"/>
        <v>6036.5999999999995</v>
      </c>
      <c r="F15" s="1">
        <f t="shared" si="3"/>
        <v>5848.7999999999984</v>
      </c>
      <c r="G15" s="4">
        <f>G14*$C$5</f>
        <v>5660.9999999999982</v>
      </c>
      <c r="K15" t="s">
        <v>25</v>
      </c>
      <c r="L15" s="1">
        <f>L14*$L$5</f>
        <v>6538.0000000000009</v>
      </c>
      <c r="M15" s="1">
        <f>M14*$L$5</f>
        <v>6476.0000000000009</v>
      </c>
      <c r="N15" s="1">
        <f t="shared" ref="N15:P15" si="4">N14*$L$5</f>
        <v>6414</v>
      </c>
      <c r="O15" s="1">
        <f t="shared" si="4"/>
        <v>6352</v>
      </c>
      <c r="P15" s="4">
        <f t="shared" si="4"/>
        <v>6289.9999999999991</v>
      </c>
      <c r="S15" t="s">
        <v>25</v>
      </c>
      <c r="T15" s="1">
        <f>T14*T5</f>
        <v>4133.9533333333338</v>
      </c>
      <c r="U15" s="1">
        <f>U14*$T$5</f>
        <v>4582.9066666666677</v>
      </c>
      <c r="V15" s="1">
        <f>V14*$T$5</f>
        <v>5031.8600000000006</v>
      </c>
      <c r="W15" s="1">
        <f>W14*$T$5</f>
        <v>5480.8133333333344</v>
      </c>
      <c r="X15" s="4">
        <f>X14*$T$5</f>
        <v>5929.7666666666673</v>
      </c>
    </row>
    <row r="16" spans="2:24" x14ac:dyDescent="0.2">
      <c r="B16" t="s">
        <v>18</v>
      </c>
      <c r="C16" s="1">
        <f>C15*1.478</f>
        <v>9477.231600000001</v>
      </c>
      <c r="D16" s="1">
        <f t="shared" ref="D16:G16" si="5">D15*1.478</f>
        <v>9199.6631999999991</v>
      </c>
      <c r="E16" s="1">
        <f t="shared" si="5"/>
        <v>8922.0947999999989</v>
      </c>
      <c r="F16" s="1">
        <f t="shared" si="5"/>
        <v>8644.526399999997</v>
      </c>
      <c r="G16" s="16">
        <f t="shared" si="5"/>
        <v>8366.9579999999969</v>
      </c>
      <c r="K16" t="s">
        <v>26</v>
      </c>
      <c r="L16" s="14">
        <f>L15*1.478</f>
        <v>9663.1640000000007</v>
      </c>
      <c r="M16" s="14">
        <f t="shared" ref="M16:P16" si="6">M15*1.478</f>
        <v>9571.5280000000021</v>
      </c>
      <c r="N16" s="14">
        <f t="shared" si="6"/>
        <v>9479.8919999999998</v>
      </c>
      <c r="O16" s="14">
        <f t="shared" si="6"/>
        <v>9388.2559999999994</v>
      </c>
      <c r="P16" s="15">
        <f t="shared" si="6"/>
        <v>9296.619999999999</v>
      </c>
      <c r="S16" t="s">
        <v>26</v>
      </c>
      <c r="T16" s="14">
        <f>T15*1.478</f>
        <v>6109.9830266666677</v>
      </c>
      <c r="U16" s="14">
        <f t="shared" ref="U16" si="7">U15*1.478</f>
        <v>6773.5360533333351</v>
      </c>
      <c r="V16" s="14">
        <f t="shared" ref="V16" si="8">V15*1.478</f>
        <v>7437.0890800000006</v>
      </c>
      <c r="W16" s="14">
        <f t="shared" ref="W16" si="9">W15*1.478</f>
        <v>8100.642106666668</v>
      </c>
      <c r="X16" s="15">
        <f t="shared" ref="X16" si="10">X15*1.478</f>
        <v>8764.1951333333345</v>
      </c>
    </row>
    <row r="18" spans="2:10" x14ac:dyDescent="0.2">
      <c r="B18" t="s">
        <v>12</v>
      </c>
      <c r="G18" s="1"/>
    </row>
    <row r="19" spans="2:10" x14ac:dyDescent="0.2">
      <c r="B19" t="s">
        <v>0</v>
      </c>
      <c r="C19">
        <v>200</v>
      </c>
    </row>
    <row r="20" spans="2:10" x14ac:dyDescent="0.2">
      <c r="B20" t="s">
        <v>1</v>
      </c>
      <c r="C20" s="9">
        <v>10500</v>
      </c>
      <c r="F20">
        <f>0.9*31.45</f>
        <v>28.305</v>
      </c>
    </row>
    <row r="21" spans="2:10" x14ac:dyDescent="0.2">
      <c r="B21" t="s">
        <v>27</v>
      </c>
      <c r="C21">
        <f>C20*0.55</f>
        <v>5775.0000000000009</v>
      </c>
    </row>
    <row r="22" spans="2:10" x14ac:dyDescent="0.2">
      <c r="B22" t="s">
        <v>13</v>
      </c>
      <c r="C22">
        <v>200</v>
      </c>
    </row>
    <row r="23" spans="2:10" x14ac:dyDescent="0.2">
      <c r="B23" t="s">
        <v>14</v>
      </c>
      <c r="C23" s="3">
        <f>C21/C22</f>
        <v>28.875000000000004</v>
      </c>
      <c r="D23" t="s">
        <v>15</v>
      </c>
      <c r="E23" t="s">
        <v>16</v>
      </c>
      <c r="F23" s="7">
        <v>2015</v>
      </c>
      <c r="G23" s="7">
        <v>2016</v>
      </c>
      <c r="H23" s="7">
        <v>2017</v>
      </c>
      <c r="I23" s="7">
        <v>2018</v>
      </c>
      <c r="J23" s="7">
        <v>2019</v>
      </c>
    </row>
    <row r="24" spans="2:10" x14ac:dyDescent="0.2">
      <c r="B24" t="s">
        <v>28</v>
      </c>
      <c r="C24" s="6">
        <v>31.449200000000001</v>
      </c>
      <c r="D24">
        <v>60</v>
      </c>
      <c r="E24" s="2">
        <v>0</v>
      </c>
      <c r="F24" s="2">
        <f>C23+$E24</f>
        <v>28.875000000000004</v>
      </c>
      <c r="G24" s="2">
        <f>F24+$E24</f>
        <v>28.875000000000004</v>
      </c>
      <c r="H24" s="2">
        <f t="shared" ref="H24:J24" si="11">G24+$E24</f>
        <v>28.875000000000004</v>
      </c>
      <c r="I24" s="2">
        <f t="shared" si="11"/>
        <v>28.875000000000004</v>
      </c>
      <c r="J24" s="2">
        <f t="shared" si="11"/>
        <v>28.875000000000004</v>
      </c>
    </row>
    <row r="25" spans="2:10" x14ac:dyDescent="0.2">
      <c r="C25" s="6">
        <f>((0.9*C24)-C23)/3/5</f>
        <v>-3.8048000000000096E-2</v>
      </c>
      <c r="F25" s="2">
        <f>F24*$D$24</f>
        <v>1732.5000000000002</v>
      </c>
      <c r="G25" s="2">
        <f t="shared" ref="G25:I25" si="12">G24*$D$24</f>
        <v>1732.5000000000002</v>
      </c>
      <c r="H25" s="2">
        <f t="shared" si="12"/>
        <v>1732.5000000000002</v>
      </c>
      <c r="I25" s="2">
        <f t="shared" si="12"/>
        <v>1732.5000000000002</v>
      </c>
      <c r="J25" s="2">
        <f>J24*$D$24</f>
        <v>1732.5000000000002</v>
      </c>
    </row>
    <row r="26" spans="2:10" x14ac:dyDescent="0.2">
      <c r="B26" t="s">
        <v>29</v>
      </c>
      <c r="C26" s="6">
        <v>38.591299999999997</v>
      </c>
      <c r="D26">
        <v>20</v>
      </c>
      <c r="E26" s="2">
        <f>C27</f>
        <v>0.39047799999999955</v>
      </c>
      <c r="F26" s="2">
        <f>C23+$E26</f>
        <v>29.265478000000002</v>
      </c>
      <c r="G26" s="2">
        <f>F26+$E$26</f>
        <v>29.655956</v>
      </c>
      <c r="H26" s="2">
        <f>G26+$E$26</f>
        <v>30.046433999999998</v>
      </c>
      <c r="I26" s="2">
        <f>H26+$E$26</f>
        <v>30.436911999999996</v>
      </c>
      <c r="J26" s="2">
        <f t="shared" ref="J26" si="13">I26+$E$24</f>
        <v>30.436911999999996</v>
      </c>
    </row>
    <row r="27" spans="2:10" x14ac:dyDescent="0.2">
      <c r="C27" s="6">
        <f>(0.9*C26-C23)/3/5</f>
        <v>0.39047799999999955</v>
      </c>
      <c r="F27" s="2">
        <f>F26*$D$26</f>
        <v>585.30956000000003</v>
      </c>
      <c r="G27" s="2">
        <f t="shared" ref="G27:I27" si="14">G26*$D$26</f>
        <v>593.11911999999995</v>
      </c>
      <c r="H27" s="2">
        <f t="shared" si="14"/>
        <v>600.92867999999999</v>
      </c>
      <c r="I27" s="2">
        <f t="shared" si="14"/>
        <v>608.73823999999991</v>
      </c>
      <c r="J27" s="2">
        <f>J26*$D$26</f>
        <v>608.73823999999991</v>
      </c>
    </row>
    <row r="28" spans="2:10" x14ac:dyDescent="0.2">
      <c r="B28" t="s">
        <v>30</v>
      </c>
      <c r="C28" s="6">
        <v>25.8337</v>
      </c>
      <c r="D28">
        <v>120</v>
      </c>
      <c r="E28" s="2">
        <f>C29</f>
        <v>-0.60826000000000069</v>
      </c>
      <c r="F28" s="2">
        <f>C23+$E28</f>
        <v>28.266740000000002</v>
      </c>
      <c r="G28" s="2">
        <f>F28+$E28</f>
        <v>27.658480000000001</v>
      </c>
      <c r="H28" s="2">
        <f>G28+$E$28</f>
        <v>27.050219999999999</v>
      </c>
      <c r="I28" s="2">
        <f>H28+$E$28</f>
        <v>26.441959999999998</v>
      </c>
      <c r="J28" s="2">
        <f>I28+$E$28</f>
        <v>25.833699999999997</v>
      </c>
    </row>
    <row r="29" spans="2:10" x14ac:dyDescent="0.2">
      <c r="C29" s="2">
        <f>(C28-C23)/5</f>
        <v>-0.60826000000000069</v>
      </c>
      <c r="F29">
        <f>F28*$D$28</f>
        <v>3392.0088000000001</v>
      </c>
      <c r="G29">
        <f t="shared" ref="G29:I29" si="15">G28*$D$28</f>
        <v>3319.0176000000001</v>
      </c>
      <c r="H29">
        <f t="shared" si="15"/>
        <v>3246.0263999999997</v>
      </c>
      <c r="I29">
        <f t="shared" si="15"/>
        <v>3173.0351999999998</v>
      </c>
      <c r="J29">
        <f>J28*$D$28</f>
        <v>3100.0439999999994</v>
      </c>
    </row>
    <row r="30" spans="2:10" x14ac:dyDescent="0.2">
      <c r="B30" t="s">
        <v>19</v>
      </c>
      <c r="F30" s="8">
        <f>SUM(F25,F27,F29)</f>
        <v>5709.8183600000002</v>
      </c>
      <c r="G30" s="8">
        <f t="shared" ref="G30:I30" si="16">SUM(G25,G27,G29)</f>
        <v>5644.6367200000004</v>
      </c>
      <c r="H30" s="8">
        <f t="shared" si="16"/>
        <v>5579.4550799999997</v>
      </c>
      <c r="I30" s="8">
        <f t="shared" si="16"/>
        <v>5514.2734399999999</v>
      </c>
      <c r="J30" s="13">
        <f>SUM(J25,J27,J29)</f>
        <v>5441.2822399999995</v>
      </c>
    </row>
    <row r="31" spans="2:10" x14ac:dyDescent="0.2">
      <c r="B31" t="s">
        <v>20</v>
      </c>
      <c r="C31" s="2"/>
      <c r="D31" s="2"/>
      <c r="E31" s="2"/>
      <c r="F31" s="8">
        <f>F30*1.478</f>
        <v>8439.1115360799995</v>
      </c>
      <c r="G31" s="8">
        <f t="shared" ref="G31:J31" si="17">G30*1.478</f>
        <v>8342.7730721600001</v>
      </c>
      <c r="H31" s="8">
        <f t="shared" si="17"/>
        <v>8246.4346082399989</v>
      </c>
      <c r="I31" s="8">
        <f t="shared" si="17"/>
        <v>8150.0961443199994</v>
      </c>
      <c r="J31" s="13">
        <f t="shared" si="17"/>
        <v>8042.2151507199997</v>
      </c>
    </row>
    <row r="33" spans="3:7" x14ac:dyDescent="0.2">
      <c r="C33" s="2"/>
      <c r="D33" s="2"/>
      <c r="E33" s="2"/>
      <c r="F33" s="2"/>
      <c r="G33" s="2"/>
    </row>
    <row r="34" spans="3:7" x14ac:dyDescent="0.2">
      <c r="C34" s="2"/>
    </row>
    <row r="35" spans="3:7" x14ac:dyDescent="0.2">
      <c r="C35" s="2"/>
      <c r="D35" s="2"/>
      <c r="E35" s="2"/>
      <c r="F35" s="2"/>
      <c r="G35" s="2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"/>
  <sheetViews>
    <sheetView workbookViewId="0">
      <selection activeCell="D4" sqref="D4"/>
    </sheetView>
  </sheetViews>
  <sheetFormatPr baseColWidth="10" defaultColWidth="8.83203125" defaultRowHeight="15" x14ac:dyDescent="0.2"/>
  <cols>
    <col min="2" max="2" width="9.1640625" customWidth="1"/>
    <col min="3" max="4" width="12.6640625" bestFit="1" customWidth="1"/>
  </cols>
  <sheetData>
    <row r="2" spans="2:4" x14ac:dyDescent="0.2">
      <c r="B2" s="10">
        <v>0.3</v>
      </c>
      <c r="C2" s="1">
        <v>574308060</v>
      </c>
      <c r="D2" s="11">
        <f>C2/C5</f>
        <v>0.33333333333333331</v>
      </c>
    </row>
    <row r="3" spans="2:4" x14ac:dyDescent="0.2">
      <c r="B3" s="10">
        <v>0.03</v>
      </c>
      <c r="C3" s="1">
        <v>57430806</v>
      </c>
      <c r="D3" s="11">
        <f>C2/C4</f>
        <v>0.52631578947368418</v>
      </c>
    </row>
    <row r="4" spans="2:4" x14ac:dyDescent="0.2">
      <c r="B4" s="10">
        <v>0.56999999999999995</v>
      </c>
      <c r="C4" s="1">
        <v>1091185314</v>
      </c>
      <c r="D4" s="12">
        <f>C2/D5</f>
        <v>0.5</v>
      </c>
    </row>
    <row r="5" spans="2:4" x14ac:dyDescent="0.2">
      <c r="C5" s="1">
        <f>SUM(C2:C4)</f>
        <v>1722924180</v>
      </c>
      <c r="D5" s="1">
        <f>SUM(C3:C4)</f>
        <v>1148616120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zoomScale="110" workbookViewId="0">
      <selection activeCell="B22" sqref="B22"/>
    </sheetView>
  </sheetViews>
  <sheetFormatPr baseColWidth="10" defaultRowHeight="15" x14ac:dyDescent="0.2"/>
  <cols>
    <col min="1" max="1" width="47.33203125" customWidth="1"/>
    <col min="2" max="2" width="11" bestFit="1" customWidth="1"/>
    <col min="3" max="7" width="11.83203125" bestFit="1" customWidth="1"/>
    <col min="9" max="9" width="50.1640625" customWidth="1"/>
    <col min="11" max="15" width="13.1640625" bestFit="1" customWidth="1"/>
  </cols>
  <sheetData>
    <row r="1" spans="1:15" ht="19" x14ac:dyDescent="0.25">
      <c r="A1" s="5" t="s">
        <v>7</v>
      </c>
      <c r="I1" t="s">
        <v>12</v>
      </c>
    </row>
    <row r="2" spans="1:15" x14ac:dyDescent="0.2">
      <c r="A2" t="s">
        <v>0</v>
      </c>
      <c r="B2">
        <v>210</v>
      </c>
      <c r="I2" t="s">
        <v>0</v>
      </c>
      <c r="J2">
        <v>245</v>
      </c>
    </row>
    <row r="3" spans="1:15" x14ac:dyDescent="0.2">
      <c r="A3" t="s">
        <v>1</v>
      </c>
      <c r="B3">
        <v>18000</v>
      </c>
      <c r="I3" t="s">
        <v>1</v>
      </c>
      <c r="J3">
        <v>10500</v>
      </c>
    </row>
    <row r="4" spans="1:15" x14ac:dyDescent="0.2">
      <c r="A4" t="s">
        <v>21</v>
      </c>
      <c r="B4">
        <f>B3*0.55</f>
        <v>9900</v>
      </c>
      <c r="I4" t="s">
        <v>27</v>
      </c>
      <c r="J4">
        <f>0.55*J3</f>
        <v>5775.0000000000009</v>
      </c>
    </row>
    <row r="5" spans="1:15" x14ac:dyDescent="0.2">
      <c r="A5" t="s">
        <v>2</v>
      </c>
      <c r="B5">
        <v>198</v>
      </c>
      <c r="I5" t="s">
        <v>13</v>
      </c>
      <c r="J5">
        <v>210</v>
      </c>
    </row>
    <row r="6" spans="1:15" x14ac:dyDescent="0.2">
      <c r="A6" t="s">
        <v>3</v>
      </c>
      <c r="B6">
        <f>B4/B5</f>
        <v>50</v>
      </c>
      <c r="I6" t="s">
        <v>14</v>
      </c>
      <c r="J6" s="9">
        <f>J4/J5</f>
        <v>27.500000000000004</v>
      </c>
    </row>
    <row r="7" spans="1:15" x14ac:dyDescent="0.2">
      <c r="A7" t="s">
        <v>9</v>
      </c>
      <c r="B7">
        <v>31.45</v>
      </c>
      <c r="I7" t="s">
        <v>9</v>
      </c>
      <c r="J7">
        <v>31.45</v>
      </c>
    </row>
    <row r="8" spans="1:15" x14ac:dyDescent="0.2">
      <c r="A8" t="s">
        <v>7</v>
      </c>
      <c r="B8">
        <f>0.7*B6</f>
        <v>35</v>
      </c>
      <c r="I8" t="s">
        <v>35</v>
      </c>
      <c r="J8">
        <v>38.58</v>
      </c>
    </row>
    <row r="9" spans="1:15" x14ac:dyDescent="0.2">
      <c r="A9" t="s">
        <v>8</v>
      </c>
      <c r="B9">
        <f>IF(B8&gt;B7,B8,B7)</f>
        <v>35</v>
      </c>
      <c r="I9" t="s">
        <v>36</v>
      </c>
      <c r="J9">
        <v>25.83</v>
      </c>
    </row>
    <row r="10" spans="1:15" ht="19" x14ac:dyDescent="0.25">
      <c r="A10" t="s">
        <v>40</v>
      </c>
      <c r="B10">
        <f>B9-B6</f>
        <v>-15</v>
      </c>
      <c r="I10" s="5" t="s">
        <v>39</v>
      </c>
      <c r="J10">
        <v>180</v>
      </c>
      <c r="K10" s="9">
        <v>2015</v>
      </c>
      <c r="L10" s="9">
        <v>2016</v>
      </c>
      <c r="M10" s="9">
        <v>2017</v>
      </c>
      <c r="N10" s="9">
        <v>2018</v>
      </c>
      <c r="O10" s="9">
        <v>2019</v>
      </c>
    </row>
    <row r="11" spans="1:15" x14ac:dyDescent="0.2">
      <c r="A11" t="s">
        <v>4</v>
      </c>
      <c r="B11">
        <f>B10/5</f>
        <v>-3</v>
      </c>
      <c r="I11" t="s">
        <v>16</v>
      </c>
      <c r="J11" s="2">
        <f>IF(J$6&lt;J7,(0.9*J7-J6)/3/5,(0.3*J7-J7)/5)</f>
        <v>5.3666666666666404E-2</v>
      </c>
      <c r="K11" s="2">
        <f>$J$6+$J11</f>
        <v>27.553666666666668</v>
      </c>
      <c r="L11" s="2">
        <f>K11+$J11</f>
        <v>27.607333333333333</v>
      </c>
      <c r="M11" s="2">
        <f>L11+$J11</f>
        <v>27.660999999999998</v>
      </c>
      <c r="N11" s="2">
        <f>M11+$J11</f>
        <v>27.714666666666663</v>
      </c>
      <c r="O11" s="2">
        <f>N11+$J11</f>
        <v>27.768333333333327</v>
      </c>
    </row>
    <row r="12" spans="1:15" ht="19" x14ac:dyDescent="0.25">
      <c r="I12" s="5" t="s">
        <v>37</v>
      </c>
      <c r="J12" s="2">
        <v>45</v>
      </c>
      <c r="K12" s="2">
        <f>K11*$J10</f>
        <v>4959.66</v>
      </c>
      <c r="L12" s="2">
        <f t="shared" ref="L12:O12" si="0">L11*$J10</f>
        <v>4969.32</v>
      </c>
      <c r="M12" s="2">
        <f t="shared" si="0"/>
        <v>4978.9799999999996</v>
      </c>
      <c r="N12" s="2">
        <f t="shared" si="0"/>
        <v>4988.6399999999994</v>
      </c>
      <c r="O12" s="2">
        <f t="shared" si="0"/>
        <v>4998.2999999999993</v>
      </c>
    </row>
    <row r="13" spans="1:15" x14ac:dyDescent="0.2">
      <c r="A13" t="s">
        <v>5</v>
      </c>
      <c r="B13">
        <v>2015</v>
      </c>
      <c r="C13">
        <v>2016</v>
      </c>
      <c r="D13">
        <v>2017</v>
      </c>
      <c r="E13">
        <v>2018</v>
      </c>
      <c r="F13">
        <v>2019</v>
      </c>
      <c r="I13" t="s">
        <v>16</v>
      </c>
      <c r="J13" s="2">
        <f>IF(J$6&lt;J8,0.9*(J8-J6)/3/5,0.3*(J9-J$6)/5)</f>
        <v>0.66479999999999972</v>
      </c>
      <c r="K13" s="2">
        <f>$J$6+$J13</f>
        <v>28.164800000000003</v>
      </c>
      <c r="L13" s="2">
        <f>K13+$J13</f>
        <v>28.829600000000003</v>
      </c>
      <c r="M13" s="2">
        <f>L13+$J13</f>
        <v>29.494400000000002</v>
      </c>
      <c r="N13" s="2">
        <f>M13+$J13</f>
        <v>30.159200000000002</v>
      </c>
      <c r="O13" s="2">
        <f>N13+$J13</f>
        <v>30.824000000000002</v>
      </c>
    </row>
    <row r="14" spans="1:15" ht="19" x14ac:dyDescent="0.25">
      <c r="A14" t="s">
        <v>6</v>
      </c>
      <c r="B14">
        <f>B6+B11</f>
        <v>47</v>
      </c>
      <c r="C14">
        <f>B14+$B11</f>
        <v>44</v>
      </c>
      <c r="D14">
        <f t="shared" ref="D14:F14" si="1">C14+$B11</f>
        <v>41</v>
      </c>
      <c r="E14">
        <f t="shared" si="1"/>
        <v>38</v>
      </c>
      <c r="F14">
        <f t="shared" si="1"/>
        <v>35</v>
      </c>
      <c r="I14" s="5" t="s">
        <v>38</v>
      </c>
      <c r="J14" s="2">
        <v>20</v>
      </c>
      <c r="K14" s="2">
        <f>K13*$J12</f>
        <v>1267.4160000000002</v>
      </c>
      <c r="L14" s="2">
        <f t="shared" ref="L14" si="2">L13*$J12</f>
        <v>1297.3320000000001</v>
      </c>
      <c r="M14" s="2">
        <f t="shared" ref="M14" si="3">M13*$J12</f>
        <v>1327.248</v>
      </c>
      <c r="N14" s="2">
        <f t="shared" ref="N14" si="4">N13*$J12</f>
        <v>1357.164</v>
      </c>
      <c r="O14" s="2">
        <f t="shared" ref="O14" si="5">O13*$J12</f>
        <v>1387.0800000000002</v>
      </c>
    </row>
    <row r="15" spans="1:15" x14ac:dyDescent="0.2">
      <c r="A15" t="s">
        <v>17</v>
      </c>
      <c r="B15">
        <f>B14*$B$5</f>
        <v>9306</v>
      </c>
      <c r="C15">
        <f t="shared" ref="C15:F15" si="6">C14*$B$5</f>
        <v>8712</v>
      </c>
      <c r="D15">
        <f t="shared" si="6"/>
        <v>8118</v>
      </c>
      <c r="E15">
        <f t="shared" si="6"/>
        <v>7524</v>
      </c>
      <c r="F15">
        <f t="shared" si="6"/>
        <v>6930</v>
      </c>
      <c r="I15" t="s">
        <v>16</v>
      </c>
      <c r="J15" s="2">
        <f>IF(J$6&lt;J9,(0.9*J9-J6)/3/5,(0.7*J6-J9)/5)</f>
        <v>-1.3159999999999996</v>
      </c>
      <c r="K15" s="2">
        <f>$J$6+$J15</f>
        <v>26.184000000000005</v>
      </c>
      <c r="L15" s="2">
        <f>K15+$J15</f>
        <v>24.868000000000006</v>
      </c>
      <c r="M15" s="2">
        <f>L15+$J15</f>
        <v>23.552000000000007</v>
      </c>
      <c r="N15" s="2">
        <f>M15+$J15</f>
        <v>22.236000000000008</v>
      </c>
      <c r="O15" s="2">
        <f>N15+$J15</f>
        <v>20.920000000000009</v>
      </c>
    </row>
    <row r="16" spans="1:15" x14ac:dyDescent="0.2">
      <c r="A16" t="s">
        <v>18</v>
      </c>
      <c r="B16">
        <f>B15*1.478</f>
        <v>13754.268</v>
      </c>
      <c r="C16">
        <f t="shared" ref="C16:F16" si="7">C15*1.478</f>
        <v>12876.335999999999</v>
      </c>
      <c r="D16">
        <f t="shared" si="7"/>
        <v>11998.404</v>
      </c>
      <c r="E16">
        <f t="shared" si="7"/>
        <v>11120.472</v>
      </c>
      <c r="F16">
        <f t="shared" si="7"/>
        <v>10242.539999999999</v>
      </c>
      <c r="K16" s="2">
        <f>K15*$J14</f>
        <v>523.68000000000006</v>
      </c>
      <c r="L16" s="2">
        <f t="shared" ref="L16" si="8">L15*$J14</f>
        <v>497.36000000000013</v>
      </c>
      <c r="M16" s="2">
        <f t="shared" ref="M16" si="9">M15*$J14</f>
        <v>471.04000000000013</v>
      </c>
      <c r="N16" s="2">
        <f t="shared" ref="N16" si="10">N15*$J14</f>
        <v>444.72000000000014</v>
      </c>
      <c r="O16" s="2">
        <f t="shared" ref="O16" si="11">O15*$J14</f>
        <v>418.4000000000002</v>
      </c>
    </row>
    <row r="17" spans="1:15" ht="19" x14ac:dyDescent="0.25">
      <c r="I17" s="17" t="s">
        <v>19</v>
      </c>
      <c r="K17" s="18">
        <f>SUM(K12,K14,K16)</f>
        <v>6750.7560000000003</v>
      </c>
      <c r="L17" s="18">
        <f t="shared" ref="L17:O17" si="12">SUM(L12,L14,L16)</f>
        <v>6764.0120000000006</v>
      </c>
      <c r="M17" s="18">
        <f t="shared" si="12"/>
        <v>6777.2679999999991</v>
      </c>
      <c r="N17" s="18">
        <f t="shared" si="12"/>
        <v>6790.5239999999994</v>
      </c>
      <c r="O17" s="18">
        <f t="shared" si="12"/>
        <v>6803.78</v>
      </c>
    </row>
    <row r="18" spans="1:15" ht="19" x14ac:dyDescent="0.25">
      <c r="I18" s="17" t="s">
        <v>20</v>
      </c>
      <c r="K18" s="19">
        <f>K17*1.478</f>
        <v>9977.6173680000011</v>
      </c>
      <c r="L18" s="19">
        <f t="shared" ref="L18:O18" si="13">L17*1.478</f>
        <v>9997.2097360000007</v>
      </c>
      <c r="M18" s="19">
        <f t="shared" si="13"/>
        <v>10016.802103999999</v>
      </c>
      <c r="N18" s="19">
        <f t="shared" si="13"/>
        <v>10036.394471999998</v>
      </c>
      <c r="O18" s="19">
        <f t="shared" si="13"/>
        <v>10055.98684</v>
      </c>
    </row>
    <row r="19" spans="1:15" ht="19" x14ac:dyDescent="0.25">
      <c r="A19" s="5" t="s">
        <v>41</v>
      </c>
    </row>
    <row r="20" spans="1:15" x14ac:dyDescent="0.2">
      <c r="A20" t="s">
        <v>0</v>
      </c>
      <c r="B20">
        <v>580</v>
      </c>
    </row>
    <row r="21" spans="1:15" x14ac:dyDescent="0.2">
      <c r="A21" t="s">
        <v>1</v>
      </c>
      <c r="B21">
        <v>14247</v>
      </c>
      <c r="C21">
        <f>C22/0.55</f>
        <v>8247</v>
      </c>
    </row>
    <row r="22" spans="1:15" x14ac:dyDescent="0.2">
      <c r="A22" t="s">
        <v>21</v>
      </c>
      <c r="B22">
        <f>B21*0.55</f>
        <v>7835.85</v>
      </c>
      <c r="C22">
        <f>8.247*B23</f>
        <v>4535.8500000000004</v>
      </c>
    </row>
    <row r="23" spans="1:15" x14ac:dyDescent="0.2">
      <c r="A23" t="s">
        <v>2</v>
      </c>
      <c r="B23">
        <v>550</v>
      </c>
    </row>
    <row r="24" spans="1:15" x14ac:dyDescent="0.2">
      <c r="A24" t="s">
        <v>3</v>
      </c>
      <c r="B24">
        <f>B22/B23</f>
        <v>14.247</v>
      </c>
    </row>
    <row r="25" spans="1:15" x14ac:dyDescent="0.2">
      <c r="A25" t="s">
        <v>42</v>
      </c>
      <c r="B25">
        <v>25.83</v>
      </c>
      <c r="D25">
        <f>0.6*B25</f>
        <v>15.497999999999998</v>
      </c>
    </row>
    <row r="26" spans="1:15" x14ac:dyDescent="0.2">
      <c r="A26" t="s">
        <v>32</v>
      </c>
      <c r="B26">
        <f>0.9*B25</f>
        <v>23.247</v>
      </c>
    </row>
    <row r="27" spans="1:15" x14ac:dyDescent="0.2">
      <c r="A27" t="s">
        <v>34</v>
      </c>
      <c r="B27">
        <f>(B26-B24)/3</f>
        <v>3</v>
      </c>
    </row>
    <row r="28" spans="1:15" x14ac:dyDescent="0.2">
      <c r="A28" t="s">
        <v>43</v>
      </c>
      <c r="B28">
        <f>B27/5</f>
        <v>0.6</v>
      </c>
    </row>
    <row r="30" spans="1:15" x14ac:dyDescent="0.2">
      <c r="A30" t="s">
        <v>5</v>
      </c>
      <c r="B30" s="9">
        <v>2015</v>
      </c>
      <c r="C30" s="9">
        <v>2016</v>
      </c>
      <c r="D30" s="9">
        <v>2017</v>
      </c>
      <c r="E30" s="9">
        <v>2018</v>
      </c>
      <c r="F30" s="9">
        <v>2019</v>
      </c>
    </row>
    <row r="31" spans="1:15" x14ac:dyDescent="0.2">
      <c r="A31" t="s">
        <v>6</v>
      </c>
      <c r="B31">
        <f>B24+B28</f>
        <v>14.847</v>
      </c>
      <c r="C31">
        <f>B31+$B28</f>
        <v>15.446999999999999</v>
      </c>
      <c r="D31">
        <f t="shared" ref="D31:F31" si="14">C31+$B28</f>
        <v>16.047000000000001</v>
      </c>
      <c r="E31">
        <f t="shared" si="14"/>
        <v>16.647000000000002</v>
      </c>
      <c r="F31">
        <f t="shared" si="14"/>
        <v>17.247000000000003</v>
      </c>
    </row>
    <row r="32" spans="1:15" x14ac:dyDescent="0.2">
      <c r="A32" t="s">
        <v>17</v>
      </c>
      <c r="B32">
        <f>B31*B23</f>
        <v>8165.8499999999995</v>
      </c>
      <c r="C32">
        <f>C31*$B$23</f>
        <v>8495.85</v>
      </c>
      <c r="D32">
        <f t="shared" ref="D32:F32" si="15">D31*$B$23</f>
        <v>8825.85</v>
      </c>
      <c r="E32">
        <f t="shared" si="15"/>
        <v>9155.85</v>
      </c>
      <c r="F32">
        <f t="shared" si="15"/>
        <v>9485.8500000000022</v>
      </c>
    </row>
    <row r="33" spans="1:6" x14ac:dyDescent="0.2">
      <c r="A33" t="s">
        <v>18</v>
      </c>
      <c r="B33">
        <f>B32*1.478</f>
        <v>12069.1263</v>
      </c>
      <c r="C33">
        <f t="shared" ref="C33" si="16">C32*1.478</f>
        <v>12556.8663</v>
      </c>
      <c r="D33">
        <f t="shared" ref="D33" si="17">D32*1.478</f>
        <v>13044.606299999999</v>
      </c>
      <c r="E33">
        <f t="shared" ref="E33" si="18">E32*1.478</f>
        <v>13532.346300000001</v>
      </c>
      <c r="F33">
        <f t="shared" ref="F33" si="19">F32*1.478</f>
        <v>14020.086300000003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Stathis</dc:creator>
  <cp:lastModifiedBy>Microsoft Office User</cp:lastModifiedBy>
  <dcterms:created xsi:type="dcterms:W3CDTF">2017-03-01T13:19:57Z</dcterms:created>
  <dcterms:modified xsi:type="dcterms:W3CDTF">2017-06-25T07:07:20Z</dcterms:modified>
</cp:coreProperties>
</file>